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95" windowHeight="9210" activeTab="0"/>
  </bookViews>
  <sheets>
    <sheet name="Magister" sheetId="1" r:id="rId1"/>
    <sheet name="Nouns Master" sheetId="2" r:id="rId2"/>
    <sheet name="Adjectives Master" sheetId="3" r:id="rId3"/>
    <sheet name="Pronouns Master" sheetId="4" r:id="rId4"/>
    <sheet name="Adjectives" sheetId="5" r:id="rId5"/>
    <sheet name="Numbers" sheetId="6" r:id="rId6"/>
    <sheet name="unus" sheetId="7" r:id="rId7"/>
    <sheet name="duo" sheetId="8" r:id="rId8"/>
    <sheet name="ambo" sheetId="9" r:id="rId9"/>
    <sheet name="tres" sheetId="10" r:id="rId10"/>
    <sheet name="mille" sheetId="11" r:id="rId11"/>
    <sheet name="Adjective Pronouns" sheetId="12" r:id="rId12"/>
    <sheet name="Pronouns" sheetId="13" r:id="rId13"/>
    <sheet name="idem" sheetId="14" r:id="rId14"/>
    <sheet name="qui &amp; quis" sheetId="15" r:id="rId15"/>
    <sheet name="qui &amp; quis Compounds" sheetId="16" r:id="rId16"/>
    <sheet name="qui &amp; quis Compounds 2" sheetId="17" r:id="rId17"/>
    <sheet name="Word Analysis" sheetId="18" r:id="rId18"/>
  </sheets>
  <definedNames/>
  <calcPr fullCalcOnLoad="1"/>
</workbook>
</file>

<file path=xl/sharedStrings.xml><?xml version="1.0" encoding="utf-8"?>
<sst xmlns="http://schemas.openxmlformats.org/spreadsheetml/2006/main" count="561" uniqueCount="158">
  <si>
    <t>Feminine</t>
  </si>
  <si>
    <t>Nominative</t>
  </si>
  <si>
    <t>Accusative</t>
  </si>
  <si>
    <t>Ablative</t>
  </si>
  <si>
    <t>Dative</t>
  </si>
  <si>
    <t>Genitive</t>
  </si>
  <si>
    <t>Plural</t>
  </si>
  <si>
    <t>Singular</t>
  </si>
  <si>
    <t>Declension</t>
  </si>
  <si>
    <t>Gender</t>
  </si>
  <si>
    <t>Stem</t>
  </si>
  <si>
    <t>a</t>
  </si>
  <si>
    <t>e</t>
  </si>
  <si>
    <t>i</t>
  </si>
  <si>
    <t>o</t>
  </si>
  <si>
    <t>u</t>
  </si>
  <si>
    <t>ā</t>
  </si>
  <si>
    <t>ē</t>
  </si>
  <si>
    <t>ī</t>
  </si>
  <si>
    <t>ō</t>
  </si>
  <si>
    <t>ū</t>
  </si>
  <si>
    <t>ae</t>
  </si>
  <si>
    <t>oe</t>
  </si>
  <si>
    <t>io</t>
  </si>
  <si>
    <t>ia</t>
  </si>
  <si>
    <t>iu</t>
  </si>
  <si>
    <t>ie</t>
  </si>
  <si>
    <t>ii</t>
  </si>
  <si>
    <t>ua</t>
  </si>
  <si>
    <t>ue</t>
  </si>
  <si>
    <t>ui</t>
  </si>
  <si>
    <t>uo</t>
  </si>
  <si>
    <t>uu</t>
  </si>
  <si>
    <r>
      <t>i</t>
    </r>
    <r>
      <rPr>
        <sz val="12"/>
        <rFont val="Arial"/>
        <family val="2"/>
      </rPr>
      <t>ē</t>
    </r>
  </si>
  <si>
    <r>
      <t>i</t>
    </r>
    <r>
      <rPr>
        <sz val="12"/>
        <rFont val="Arial"/>
        <family val="2"/>
      </rPr>
      <t>ō</t>
    </r>
  </si>
  <si>
    <t>iū</t>
  </si>
  <si>
    <t>īa</t>
  </si>
  <si>
    <t>īe</t>
  </si>
  <si>
    <t>īi</t>
  </si>
  <si>
    <t>īo</t>
  </si>
  <si>
    <t>īu</t>
  </si>
  <si>
    <t>eu</t>
  </si>
  <si>
    <t>iā</t>
  </si>
  <si>
    <t>iī</t>
  </si>
  <si>
    <t>īā</t>
  </si>
  <si>
    <t>īī</t>
  </si>
  <si>
    <t>īē</t>
  </si>
  <si>
    <t>īō</t>
  </si>
  <si>
    <t>īū</t>
  </si>
  <si>
    <t>uā</t>
  </si>
  <si>
    <t>uē</t>
  </si>
  <si>
    <t>uī</t>
  </si>
  <si>
    <t>uō</t>
  </si>
  <si>
    <t>uū</t>
  </si>
  <si>
    <t>ūa</t>
  </si>
  <si>
    <t>ūe</t>
  </si>
  <si>
    <t>ūi</t>
  </si>
  <si>
    <t>ūo</t>
  </si>
  <si>
    <t>ūu</t>
  </si>
  <si>
    <t>ūā</t>
  </si>
  <si>
    <t>ūē</t>
  </si>
  <si>
    <t>ūī</t>
  </si>
  <si>
    <t>ūō</t>
  </si>
  <si>
    <t>ūū</t>
  </si>
  <si>
    <t>TSN</t>
  </si>
  <si>
    <t>TSG</t>
  </si>
  <si>
    <t>c</t>
  </si>
  <si>
    <t>b</t>
  </si>
  <si>
    <t>d</t>
  </si>
  <si>
    <t>f</t>
  </si>
  <si>
    <t>g</t>
  </si>
  <si>
    <t>h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</si>
  <si>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</si>
  <si>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</si>
  <si>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</si>
  <si>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</si>
  <si>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</si>
  <si>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</si>
  <si>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</si>
  <si>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</si>
  <si>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</si>
  <si>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</si>
  <si>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v</t>
  </si>
  <si>
    <t>w</t>
  </si>
  <si>
    <t>x</t>
  </si>
  <si>
    <t>z</t>
  </si>
  <si>
    <t>bb</t>
  </si>
  <si>
    <t>cc</t>
  </si>
  <si>
    <t>dd</t>
  </si>
  <si>
    <t>ff</t>
  </si>
  <si>
    <t>gg</t>
  </si>
  <si>
    <t>hh</t>
  </si>
  <si>
    <t>jj</t>
  </si>
  <si>
    <t>kk</t>
  </si>
  <si>
    <t>ll</t>
  </si>
  <si>
    <t>mm</t>
  </si>
  <si>
    <t>nn</t>
  </si>
  <si>
    <t>pp</t>
  </si>
  <si>
    <t>qq</t>
  </si>
  <si>
    <t>rr</t>
  </si>
  <si>
    <t>ss</t>
  </si>
  <si>
    <t>tt</t>
  </si>
  <si>
    <t>vv</t>
  </si>
  <si>
    <t>ww</t>
  </si>
  <si>
    <t>xx</t>
  </si>
  <si>
    <t>zz</t>
  </si>
  <si>
    <t>TDCG</t>
  </si>
  <si>
    <t>Neuter</t>
  </si>
  <si>
    <t>Masculine</t>
  </si>
  <si>
    <t>Termination(s)</t>
  </si>
  <si>
    <t>NUMBER</t>
  </si>
  <si>
    <r>
      <t>qu</t>
    </r>
    <r>
      <rPr>
        <sz val="12"/>
        <rFont val="Arial"/>
        <family val="2"/>
      </rPr>
      <t>ī</t>
    </r>
  </si>
  <si>
    <t>quae</t>
  </si>
  <si>
    <t>duo</t>
  </si>
  <si>
    <t>duae</t>
  </si>
  <si>
    <r>
      <t>du</t>
    </r>
    <r>
      <rPr>
        <sz val="12"/>
        <rFont val="Arial"/>
        <family val="2"/>
      </rPr>
      <t>ō</t>
    </r>
    <r>
      <rPr>
        <sz val="12"/>
        <rFont val="Arial"/>
        <family val="0"/>
      </rPr>
      <t>s</t>
    </r>
  </si>
  <si>
    <r>
      <t>du</t>
    </r>
    <r>
      <rPr>
        <sz val="12"/>
        <rFont val="Arial"/>
        <family val="2"/>
      </rPr>
      <t>ā</t>
    </r>
    <r>
      <rPr>
        <sz val="12"/>
        <rFont val="Arial"/>
        <family val="0"/>
      </rPr>
      <t>s</t>
    </r>
  </si>
  <si>
    <t>CASE</t>
  </si>
  <si>
    <t>NUMBER &amp; GENDER</t>
  </si>
  <si>
    <t>DECLENSION</t>
  </si>
  <si>
    <r>
      <t>tr</t>
    </r>
    <r>
      <rPr>
        <sz val="12"/>
        <rFont val="Arial"/>
        <family val="2"/>
      </rPr>
      <t>ē</t>
    </r>
    <r>
      <rPr>
        <sz val="12"/>
        <rFont val="Arial"/>
        <family val="0"/>
      </rPr>
      <t>s</t>
    </r>
  </si>
  <si>
    <t>tria</t>
  </si>
  <si>
    <r>
      <t>m</t>
    </r>
    <r>
      <rPr>
        <sz val="12"/>
        <rFont val="Arial"/>
        <family val="2"/>
      </rPr>
      <t>ī</t>
    </r>
    <r>
      <rPr>
        <sz val="12"/>
        <rFont val="Arial"/>
        <family val="0"/>
      </rPr>
      <t>lle</t>
    </r>
  </si>
  <si>
    <r>
      <t>m</t>
    </r>
    <r>
      <rPr>
        <sz val="12"/>
        <rFont val="Arial"/>
        <family val="2"/>
      </rPr>
      <t>ī</t>
    </r>
    <r>
      <rPr>
        <sz val="12"/>
        <rFont val="Arial"/>
        <family val="0"/>
      </rPr>
      <t>lia</t>
    </r>
  </si>
  <si>
    <r>
      <t>m</t>
    </r>
    <r>
      <rPr>
        <sz val="12"/>
        <rFont val="Arial"/>
        <family val="2"/>
      </rPr>
      <t>ī</t>
    </r>
    <r>
      <rPr>
        <sz val="12"/>
        <rFont val="Arial"/>
        <family val="0"/>
      </rPr>
      <t>libus</t>
    </r>
  </si>
  <si>
    <r>
      <t>m</t>
    </r>
    <r>
      <rPr>
        <sz val="12"/>
        <rFont val="Arial"/>
        <family val="2"/>
      </rPr>
      <t>ī</t>
    </r>
    <r>
      <rPr>
        <sz val="12"/>
        <rFont val="Arial"/>
        <family val="0"/>
      </rPr>
      <t>lium</t>
    </r>
  </si>
  <si>
    <r>
      <t>amb</t>
    </r>
    <r>
      <rPr>
        <sz val="12"/>
        <rFont val="Arial"/>
        <family val="2"/>
      </rPr>
      <t>ō</t>
    </r>
  </si>
  <si>
    <t>ambae</t>
  </si>
  <si>
    <r>
      <t>ambō</t>
    </r>
    <r>
      <rPr>
        <sz val="12"/>
        <rFont val="Arial"/>
        <family val="0"/>
      </rPr>
      <t>s</t>
    </r>
  </si>
  <si>
    <r>
      <t>ambā</t>
    </r>
    <r>
      <rPr>
        <sz val="12"/>
        <rFont val="Arial"/>
        <family val="0"/>
      </rPr>
      <t>s</t>
    </r>
  </si>
  <si>
    <t>unus</t>
  </si>
  <si>
    <t>una</t>
  </si>
  <si>
    <t>unum</t>
  </si>
  <si>
    <t>unam</t>
  </si>
  <si>
    <r>
      <t>un</t>
    </r>
    <r>
      <rPr>
        <sz val="12"/>
        <rFont val="Arial"/>
        <family val="2"/>
      </rPr>
      <t>ō</t>
    </r>
  </si>
  <si>
    <r>
      <t>un</t>
    </r>
    <r>
      <rPr>
        <sz val="12"/>
        <rFont val="Arial"/>
        <family val="2"/>
      </rPr>
      <t>ā</t>
    </r>
  </si>
  <si>
    <r>
      <t>un</t>
    </r>
    <r>
      <rPr>
        <sz val="12"/>
        <rFont val="Arial"/>
        <family val="2"/>
      </rPr>
      <t>ī</t>
    </r>
  </si>
  <si>
    <t>unīus</t>
  </si>
  <si>
    <t>Locative</t>
  </si>
  <si>
    <t>Vocative</t>
  </si>
  <si>
    <t>STEM:</t>
  </si>
  <si>
    <t>TERMINATION(S)</t>
  </si>
  <si>
    <t>DICTIONARY ENTRY</t>
  </si>
  <si>
    <t>NOUNS</t>
  </si>
  <si>
    <t>ADJECTIVES</t>
  </si>
  <si>
    <t>M</t>
  </si>
  <si>
    <t>SINGULAR</t>
  </si>
  <si>
    <t>PLURAL</t>
  </si>
  <si>
    <t>PRONOUNS</t>
  </si>
  <si>
    <t>hominis</t>
  </si>
  <si>
    <t>homō</t>
  </si>
  <si>
    <t>sapientis</t>
  </si>
  <si>
    <t>is</t>
  </si>
  <si>
    <t>ea</t>
  </si>
  <si>
    <t>id</t>
  </si>
  <si>
    <t>sapiēns</t>
  </si>
  <si>
    <t>N/A</t>
  </si>
  <si>
    <t>qua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</si>
</sst>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1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9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u val="single"/>
      <sz val="12"/>
      <color indexed="9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6" borderId="4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7" borderId="4" xfId="0" applyNumberFormat="1" applyFont="1" applyFill="1" applyBorder="1" applyAlignment="1">
      <alignment vertical="center"/>
    </xf>
    <xf numFmtId="0" fontId="1" fillId="7" borderId="5" xfId="0" applyNumberFormat="1" applyFont="1" applyFill="1" applyBorder="1" applyAlignment="1">
      <alignment vertical="center"/>
    </xf>
    <xf numFmtId="0" fontId="1" fillId="7" borderId="3" xfId="0" applyNumberFormat="1" applyFont="1" applyFill="1" applyBorder="1" applyAlignment="1">
      <alignment vertical="center"/>
    </xf>
    <xf numFmtId="0" fontId="7" fillId="8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164" fontId="1" fillId="7" borderId="4" xfId="0" applyNumberFormat="1" applyFont="1" applyFill="1" applyBorder="1" applyAlignment="1">
      <alignment/>
    </xf>
    <xf numFmtId="164" fontId="1" fillId="7" borderId="5" xfId="0" applyNumberFormat="1" applyFont="1" applyFill="1" applyBorder="1" applyAlignment="1">
      <alignment/>
    </xf>
    <xf numFmtId="0" fontId="6" fillId="3" borderId="6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6" fillId="10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textRotation="90"/>
    </xf>
    <xf numFmtId="0" fontId="10" fillId="8" borderId="1" xfId="0" applyFont="1" applyFill="1" applyBorder="1" applyAlignment="1">
      <alignment horizontal="center" vertical="center" textRotation="90"/>
    </xf>
    <xf numFmtId="0" fontId="12" fillId="6" borderId="1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164" fontId="1" fillId="7" borderId="5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 vertical="center" textRotation="90"/>
    </xf>
    <xf numFmtId="0" fontId="4" fillId="8" borderId="12" xfId="0" applyFont="1" applyFill="1" applyBorder="1" applyAlignment="1">
      <alignment horizontal="center" vertical="center" textRotation="90"/>
    </xf>
    <xf numFmtId="0" fontId="1" fillId="7" borderId="1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fill>
        <patternFill>
          <bgColor rgb="FFC0C0C0"/>
        </patternFill>
      </fill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0"/>
  <sheetViews>
    <sheetView tabSelected="1" workbookViewId="0" topLeftCell="A1">
      <selection activeCell="E6" sqref="E6"/>
    </sheetView>
  </sheetViews>
  <sheetFormatPr defaultColWidth="9.140625" defaultRowHeight="12.75"/>
  <cols>
    <col min="1" max="1" width="4.7109375" style="20" customWidth="1"/>
    <col min="2" max="2" width="12.7109375" style="20" customWidth="1"/>
    <col min="3" max="3" width="21.00390625" style="20" customWidth="1"/>
    <col min="4" max="5" width="20.7109375" style="20" customWidth="1"/>
    <col min="6" max="6" width="9.140625" style="20" customWidth="1"/>
    <col min="7" max="7" width="4.7109375" style="20" customWidth="1"/>
    <col min="8" max="8" width="13.7109375" style="20" customWidth="1"/>
    <col min="9" max="11" width="20.7109375" style="20" customWidth="1"/>
    <col min="12" max="16384" width="9.140625" style="20" customWidth="1"/>
  </cols>
  <sheetData>
    <row r="1" spans="1:11" ht="16.5" thickBot="1">
      <c r="A1" s="37" t="str">
        <f>IF('Nouns Master'!$A$2="First Declension","1st Declension",IF('Nouns Master'!$A$2="Second Declension","2nd Declension",IF('Nouns Master'!$A$2="Third Declension","3rd Declension",IF('Nouns Master'!$A$2="Fourth Declension","4th Declension","5th Declension"))))</f>
        <v>3rd Declension</v>
      </c>
      <c r="B1" s="37"/>
      <c r="C1" s="40" t="s">
        <v>143</v>
      </c>
      <c r="D1" s="40"/>
      <c r="G1" s="44" t="str">
        <f>IF('Adjectives Master'!$A$2="First/Second Declension","1st/2nd Declension",IF('Adjectives Master'!$A$2="Third Declension","3rd Declension","Irreg. Declen."))</f>
        <v>3rd Declension</v>
      </c>
      <c r="H1" s="44"/>
      <c r="I1" s="40" t="s">
        <v>144</v>
      </c>
      <c r="J1" s="40"/>
      <c r="K1" s="40"/>
    </row>
    <row r="2" spans="1:11" ht="16.5" thickBot="1">
      <c r="A2" s="38" t="s">
        <v>145</v>
      </c>
      <c r="B2" s="29"/>
      <c r="C2" s="32" t="s">
        <v>150</v>
      </c>
      <c r="D2" s="33" t="s">
        <v>149</v>
      </c>
      <c r="G2" s="44" t="str">
        <f>IF($G$1="3rd Declension",IF('Adjectives Master'!$C$2="One Termination","1 Termination",IF('Adjectives Master'!$C$2="Two Terminations","2 Terminations","3 Terminations")),"N/A")</f>
        <v>1 Termination</v>
      </c>
      <c r="H2" s="45"/>
      <c r="I2" s="31" t="s">
        <v>155</v>
      </c>
      <c r="J2" s="32" t="s">
        <v>151</v>
      </c>
      <c r="K2" s="33"/>
    </row>
    <row r="3" spans="1:11" ht="15.75" customHeight="1">
      <c r="A3" s="39" t="str">
        <f>'Nouns Master'!$B$2</f>
        <v>Not i-Stem</v>
      </c>
      <c r="B3" s="39"/>
      <c r="C3" s="24" t="s">
        <v>7</v>
      </c>
      <c r="D3" s="25" t="s">
        <v>6</v>
      </c>
      <c r="G3" s="44" t="str">
        <f>IF($G$1="3rd Declension",'Adjectives Master'!$C$3,"N/A")</f>
        <v>i-Stem</v>
      </c>
      <c r="H3" s="44"/>
      <c r="I3" s="26" t="s">
        <v>108</v>
      </c>
      <c r="J3" s="26" t="s">
        <v>0</v>
      </c>
      <c r="K3" s="26" t="s">
        <v>107</v>
      </c>
    </row>
    <row r="4" spans="1:11" ht="15.75" customHeight="1">
      <c r="A4" s="36" t="s">
        <v>1</v>
      </c>
      <c r="B4" s="36"/>
      <c r="C4" s="30" t="str">
        <f>'Nouns Master'!D3</f>
        <v>homō</v>
      </c>
      <c r="D4" s="30" t="str">
        <f>'Nouns Master'!E3</f>
        <v>hominēs</v>
      </c>
      <c r="G4" s="43" t="s">
        <v>146</v>
      </c>
      <c r="H4" s="34" t="s">
        <v>1</v>
      </c>
      <c r="I4" s="30" t="str">
        <f>'Adjectives Master'!D4</f>
        <v>sapiēns</v>
      </c>
      <c r="J4" s="30" t="str">
        <f>'Adjectives Master'!E4</f>
        <v>sapiēns</v>
      </c>
      <c r="K4" s="30" t="str">
        <f>'Adjectives Master'!F4</f>
        <v>sapiēns</v>
      </c>
    </row>
    <row r="5" spans="1:11" ht="15.75">
      <c r="A5" s="36" t="s">
        <v>2</v>
      </c>
      <c r="B5" s="36"/>
      <c r="C5" s="30" t="str">
        <f>'Nouns Master'!D4</f>
        <v>hominem</v>
      </c>
      <c r="D5" s="30" t="str">
        <f>'Nouns Master'!E4</f>
        <v>hominēs</v>
      </c>
      <c r="G5" s="43"/>
      <c r="H5" s="34" t="s">
        <v>2</v>
      </c>
      <c r="I5" s="30" t="str">
        <f>'Adjectives Master'!D5</f>
        <v>sapientem</v>
      </c>
      <c r="J5" s="30" t="str">
        <f>'Adjectives Master'!E5</f>
        <v>sapientem</v>
      </c>
      <c r="K5" s="30" t="str">
        <f>'Adjectives Master'!F5</f>
        <v>sapiēns</v>
      </c>
    </row>
    <row r="6" spans="1:11" ht="15.75">
      <c r="A6" s="36" t="s">
        <v>3</v>
      </c>
      <c r="B6" s="36"/>
      <c r="C6" s="30" t="str">
        <f>'Nouns Master'!D5</f>
        <v>homine</v>
      </c>
      <c r="D6" s="30" t="str">
        <f>'Nouns Master'!E5</f>
        <v>hominibus</v>
      </c>
      <c r="G6" s="43"/>
      <c r="H6" s="34" t="s">
        <v>3</v>
      </c>
      <c r="I6" s="30" t="str">
        <f>'Adjectives Master'!D6</f>
        <v>sapientī</v>
      </c>
      <c r="J6" s="30" t="str">
        <f>'Adjectives Master'!E6</f>
        <v>sapientī</v>
      </c>
      <c r="K6" s="30" t="str">
        <f>'Adjectives Master'!F6</f>
        <v>sapientī</v>
      </c>
    </row>
    <row r="7" spans="1:11" ht="15.75">
      <c r="A7" s="36" t="s">
        <v>4</v>
      </c>
      <c r="B7" s="36"/>
      <c r="C7" s="30" t="str">
        <f>'Nouns Master'!D6</f>
        <v>hominī</v>
      </c>
      <c r="D7" s="30" t="str">
        <f>'Nouns Master'!E6</f>
        <v>hominibus</v>
      </c>
      <c r="G7" s="43"/>
      <c r="H7" s="34" t="s">
        <v>4</v>
      </c>
      <c r="I7" s="30" t="str">
        <f>'Adjectives Master'!D7</f>
        <v>sapientī</v>
      </c>
      <c r="J7" s="30" t="str">
        <f>'Adjectives Master'!E7</f>
        <v>sapientī</v>
      </c>
      <c r="K7" s="30" t="str">
        <f>'Adjectives Master'!F7</f>
        <v>sapientī</v>
      </c>
    </row>
    <row r="8" spans="1:11" ht="15.75">
      <c r="A8" s="36" t="s">
        <v>5</v>
      </c>
      <c r="B8" s="36"/>
      <c r="C8" s="30" t="str">
        <f>'Nouns Master'!D7</f>
        <v>hominis</v>
      </c>
      <c r="D8" s="30" t="str">
        <f>'Nouns Master'!E7</f>
        <v>hominum</v>
      </c>
      <c r="G8" s="43"/>
      <c r="H8" s="34" t="s">
        <v>5</v>
      </c>
      <c r="I8" s="30" t="str">
        <f>'Adjectives Master'!D8</f>
        <v>sapientis</v>
      </c>
      <c r="J8" s="30" t="str">
        <f>'Adjectives Master'!E8</f>
        <v>sapientis</v>
      </c>
      <c r="K8" s="30" t="str">
        <f>'Adjectives Master'!F8</f>
        <v>sapientis</v>
      </c>
    </row>
    <row r="9" spans="1:11" ht="15.75">
      <c r="A9" s="36" t="s">
        <v>138</v>
      </c>
      <c r="B9" s="36"/>
      <c r="C9" s="30" t="str">
        <f>'Nouns Master'!D8</f>
        <v>homine</v>
      </c>
      <c r="D9" s="30" t="str">
        <f>'Nouns Master'!E8</f>
        <v>hominibus</v>
      </c>
      <c r="G9" s="43"/>
      <c r="H9" s="34" t="s">
        <v>138</v>
      </c>
      <c r="I9" s="30" t="str">
        <f>'Adjectives Master'!D9</f>
        <v>sapientī</v>
      </c>
      <c r="J9" s="30" t="str">
        <f>'Adjectives Master'!E9</f>
        <v>sapientī</v>
      </c>
      <c r="K9" s="30" t="str">
        <f>'Adjectives Master'!F9</f>
        <v>sapientī</v>
      </c>
    </row>
    <row r="10" spans="1:11" ht="15.75" customHeight="1">
      <c r="A10" s="36" t="s">
        <v>139</v>
      </c>
      <c r="B10" s="36"/>
      <c r="C10" s="30" t="str">
        <f>'Nouns Master'!D9</f>
        <v>homō</v>
      </c>
      <c r="D10" s="30" t="str">
        <f>'Nouns Master'!E9</f>
        <v>hominēs</v>
      </c>
      <c r="G10" s="43"/>
      <c r="H10" s="34" t="s">
        <v>139</v>
      </c>
      <c r="I10" s="30" t="str">
        <f>'Adjectives Master'!D10</f>
        <v>sapiēns</v>
      </c>
      <c r="J10" s="30" t="str">
        <f>'Adjectives Master'!E10</f>
        <v>sapiēns</v>
      </c>
      <c r="K10" s="30" t="str">
        <f>'Adjectives Master'!F10</f>
        <v>sapiēns</v>
      </c>
    </row>
    <row r="11" spans="7:11" ht="15.75">
      <c r="G11" s="42" t="s">
        <v>147</v>
      </c>
      <c r="H11" s="35" t="s">
        <v>1</v>
      </c>
      <c r="I11" s="30" t="str">
        <f>'Adjectives Master'!G4</f>
        <v>sapientēs</v>
      </c>
      <c r="J11" s="30" t="str">
        <f>'Adjectives Master'!H4</f>
        <v>sapientēs</v>
      </c>
      <c r="K11" s="30" t="str">
        <f>'Adjectives Master'!I4</f>
        <v>sapientia</v>
      </c>
    </row>
    <row r="12" spans="7:11" ht="15.75">
      <c r="G12" s="42"/>
      <c r="H12" s="35" t="s">
        <v>2</v>
      </c>
      <c r="I12" s="30" t="str">
        <f>'Adjectives Master'!G5</f>
        <v>sapientēs</v>
      </c>
      <c r="J12" s="30" t="str">
        <f>'Adjectives Master'!H5</f>
        <v>sapientēs</v>
      </c>
      <c r="K12" s="30" t="str">
        <f>'Adjectives Master'!I5</f>
        <v>sapientia</v>
      </c>
    </row>
    <row r="13" spans="7:11" ht="15.75">
      <c r="G13" s="42"/>
      <c r="H13" s="35" t="s">
        <v>3</v>
      </c>
      <c r="I13" s="30" t="str">
        <f>'Adjectives Master'!G6</f>
        <v>sapientibus</v>
      </c>
      <c r="J13" s="30" t="str">
        <f>'Adjectives Master'!H6</f>
        <v>sapientibus</v>
      </c>
      <c r="K13" s="30" t="str">
        <f>'Adjectives Master'!I6</f>
        <v>sapientibus</v>
      </c>
    </row>
    <row r="14" spans="1:11" ht="16.5" thickBot="1">
      <c r="A14" s="46"/>
      <c r="B14" s="46"/>
      <c r="C14" s="40" t="s">
        <v>148</v>
      </c>
      <c r="D14" s="41"/>
      <c r="E14" s="41"/>
      <c r="G14" s="42"/>
      <c r="H14" s="35" t="s">
        <v>4</v>
      </c>
      <c r="I14" s="30" t="str">
        <f>'Adjectives Master'!G7</f>
        <v>sapientibus</v>
      </c>
      <c r="J14" s="30" t="str">
        <f>'Adjectives Master'!H7</f>
        <v>sapientibus</v>
      </c>
      <c r="K14" s="30" t="str">
        <f>'Adjectives Master'!I7</f>
        <v>sapientibus</v>
      </c>
    </row>
    <row r="15" spans="1:11" ht="16.5" thickBot="1">
      <c r="A15" s="46"/>
      <c r="B15" s="47"/>
      <c r="C15" s="31" t="s">
        <v>152</v>
      </c>
      <c r="D15" s="32" t="s">
        <v>153</v>
      </c>
      <c r="E15" s="33" t="s">
        <v>154</v>
      </c>
      <c r="G15" s="42"/>
      <c r="H15" s="35" t="s">
        <v>5</v>
      </c>
      <c r="I15" s="30" t="str">
        <f>'Adjectives Master'!G8</f>
        <v>sapientium</v>
      </c>
      <c r="J15" s="30" t="str">
        <f>'Adjectives Master'!H8</f>
        <v>sapientium</v>
      </c>
      <c r="K15" s="30" t="str">
        <f>'Adjectives Master'!I8</f>
        <v>sapientium</v>
      </c>
    </row>
    <row r="16" spans="1:11" ht="15.75" customHeight="1">
      <c r="A16" s="46"/>
      <c r="B16" s="46"/>
      <c r="C16" s="26" t="s">
        <v>108</v>
      </c>
      <c r="D16" s="26" t="s">
        <v>0</v>
      </c>
      <c r="E16" s="26" t="s">
        <v>107</v>
      </c>
      <c r="G16" s="42"/>
      <c r="H16" s="35" t="s">
        <v>138</v>
      </c>
      <c r="I16" s="30" t="str">
        <f>'Adjectives Master'!G9</f>
        <v>sapientibus</v>
      </c>
      <c r="J16" s="30" t="str">
        <f>'Adjectives Master'!H9</f>
        <v>sapientibus</v>
      </c>
      <c r="K16" s="30" t="str">
        <f>'Adjectives Master'!I9</f>
        <v>sapientibus</v>
      </c>
    </row>
    <row r="17" spans="1:11" ht="15.75" customHeight="1">
      <c r="A17" s="43" t="s">
        <v>146</v>
      </c>
      <c r="B17" s="34" t="s">
        <v>1</v>
      </c>
      <c r="C17" s="30" t="str">
        <f>'Pronouns Master'!C4</f>
        <v>is</v>
      </c>
      <c r="D17" s="30" t="str">
        <f>'Pronouns Master'!D4</f>
        <v>ea</v>
      </c>
      <c r="E17" s="30" t="str">
        <f>'Pronouns Master'!E4</f>
        <v>id</v>
      </c>
      <c r="G17" s="42"/>
      <c r="H17" s="35" t="s">
        <v>139</v>
      </c>
      <c r="I17" s="30" t="str">
        <f>'Adjectives Master'!G10</f>
        <v>sapientēs</v>
      </c>
      <c r="J17" s="30" t="str">
        <f>'Adjectives Master'!H10</f>
        <v>sapientēs</v>
      </c>
      <c r="K17" s="30" t="str">
        <f>'Adjectives Master'!I10</f>
        <v>sapientia</v>
      </c>
    </row>
    <row r="18" spans="1:5" ht="15.75">
      <c r="A18" s="43"/>
      <c r="B18" s="34" t="s">
        <v>2</v>
      </c>
      <c r="C18" s="30" t="str">
        <f>'Pronouns Master'!C5</f>
        <v>eum</v>
      </c>
      <c r="D18" s="30" t="str">
        <f>'Pronouns Master'!D5</f>
        <v>eam</v>
      </c>
      <c r="E18" s="30" t="str">
        <f>'Pronouns Master'!E5</f>
        <v>id</v>
      </c>
    </row>
    <row r="19" spans="1:5" ht="15.75">
      <c r="A19" s="43"/>
      <c r="B19" s="34" t="s">
        <v>3</v>
      </c>
      <c r="C19" s="30" t="str">
        <f>'Pronouns Master'!C6</f>
        <v>eō</v>
      </c>
      <c r="D19" s="30" t="str">
        <f>'Pronouns Master'!D6</f>
        <v>eā</v>
      </c>
      <c r="E19" s="30" t="str">
        <f>'Pronouns Master'!E6</f>
        <v>eō</v>
      </c>
    </row>
    <row r="20" spans="1:5" ht="15.75">
      <c r="A20" s="43"/>
      <c r="B20" s="34" t="s">
        <v>4</v>
      </c>
      <c r="C20" s="30" t="str">
        <f>'Pronouns Master'!C7</f>
        <v>eī</v>
      </c>
      <c r="D20" s="30" t="str">
        <f>'Pronouns Master'!D7</f>
        <v>eī</v>
      </c>
      <c r="E20" s="30" t="str">
        <f>'Pronouns Master'!E7</f>
        <v>eī</v>
      </c>
    </row>
    <row r="21" spans="1:5" ht="15.75">
      <c r="A21" s="43"/>
      <c r="B21" s="34" t="s">
        <v>5</v>
      </c>
      <c r="C21" s="30" t="str">
        <f>'Pronouns Master'!C8</f>
        <v>eius</v>
      </c>
      <c r="D21" s="30" t="str">
        <f>'Pronouns Master'!D8</f>
        <v>eius</v>
      </c>
      <c r="E21" s="30" t="str">
        <f>'Pronouns Master'!E8</f>
        <v>eius</v>
      </c>
    </row>
    <row r="22" spans="1:5" ht="15.75">
      <c r="A22" s="43"/>
      <c r="B22" s="34" t="s">
        <v>138</v>
      </c>
      <c r="C22" s="30" t="str">
        <f>'Pronouns Master'!C9</f>
        <v>eō</v>
      </c>
      <c r="D22" s="30" t="str">
        <f>'Pronouns Master'!D9</f>
        <v>eā</v>
      </c>
      <c r="E22" s="30" t="str">
        <f>'Pronouns Master'!E9</f>
        <v>eō</v>
      </c>
    </row>
    <row r="23" spans="1:5" ht="15.75">
      <c r="A23" s="43"/>
      <c r="B23" s="34" t="s">
        <v>139</v>
      </c>
      <c r="C23" s="30" t="str">
        <f>'Pronouns Master'!C10</f>
        <v>is</v>
      </c>
      <c r="D23" s="30" t="str">
        <f>'Pronouns Master'!D10</f>
        <v>ea</v>
      </c>
      <c r="E23" s="30" t="str">
        <f>'Pronouns Master'!E10</f>
        <v>id</v>
      </c>
    </row>
    <row r="24" spans="1:5" ht="15.75">
      <c r="A24" s="42" t="s">
        <v>146</v>
      </c>
      <c r="B24" s="35" t="s">
        <v>1</v>
      </c>
      <c r="C24" s="30" t="str">
        <f>'Pronouns Master'!F4</f>
        <v>eī</v>
      </c>
      <c r="D24" s="30" t="str">
        <f>'Pronouns Master'!G4</f>
        <v>eae</v>
      </c>
      <c r="E24" s="30" t="str">
        <f>'Pronouns Master'!H4</f>
        <v>ea</v>
      </c>
    </row>
    <row r="25" spans="1:5" ht="15.75">
      <c r="A25" s="42"/>
      <c r="B25" s="35" t="s">
        <v>2</v>
      </c>
      <c r="C25" s="30" t="str">
        <f>'Pronouns Master'!F5</f>
        <v>eōs</v>
      </c>
      <c r="D25" s="30" t="str">
        <f>'Pronouns Master'!G5</f>
        <v>eās</v>
      </c>
      <c r="E25" s="30" t="str">
        <f>'Pronouns Master'!H5</f>
        <v>ea</v>
      </c>
    </row>
    <row r="26" spans="1:5" ht="15.75">
      <c r="A26" s="42"/>
      <c r="B26" s="35" t="s">
        <v>3</v>
      </c>
      <c r="C26" s="30" t="str">
        <f>'Pronouns Master'!F6</f>
        <v>eīs</v>
      </c>
      <c r="D26" s="30" t="str">
        <f>'Pronouns Master'!G6</f>
        <v>eīs</v>
      </c>
      <c r="E26" s="30" t="str">
        <f>'Pronouns Master'!H6</f>
        <v>eīs</v>
      </c>
    </row>
    <row r="27" spans="1:5" ht="15.75">
      <c r="A27" s="42"/>
      <c r="B27" s="35" t="s">
        <v>4</v>
      </c>
      <c r="C27" s="30" t="str">
        <f>'Pronouns Master'!F7</f>
        <v>eīs</v>
      </c>
      <c r="D27" s="30" t="str">
        <f>'Pronouns Master'!G7</f>
        <v>eīs</v>
      </c>
      <c r="E27" s="30" t="str">
        <f>'Pronouns Master'!H7</f>
        <v>eīs</v>
      </c>
    </row>
    <row r="28" spans="1:5" ht="15.75">
      <c r="A28" s="42"/>
      <c r="B28" s="35" t="s">
        <v>5</v>
      </c>
      <c r="C28" s="30" t="str">
        <f>'Pronouns Master'!F8</f>
        <v>eōrum</v>
      </c>
      <c r="D28" s="30" t="str">
        <f>'Pronouns Master'!G8</f>
        <v>eārum</v>
      </c>
      <c r="E28" s="30" t="str">
        <f>'Pronouns Master'!H8</f>
        <v>eōrum</v>
      </c>
    </row>
    <row r="29" spans="1:5" ht="15.75">
      <c r="A29" s="42"/>
      <c r="B29" s="35" t="s">
        <v>138</v>
      </c>
      <c r="C29" s="30" t="str">
        <f>'Pronouns Master'!F9</f>
        <v>eīs</v>
      </c>
      <c r="D29" s="30" t="str">
        <f>'Pronouns Master'!G9</f>
        <v>eīs</v>
      </c>
      <c r="E29" s="30" t="str">
        <f>'Pronouns Master'!H9</f>
        <v>eīs</v>
      </c>
    </row>
    <row r="30" spans="1:5" ht="15.75">
      <c r="A30" s="42"/>
      <c r="B30" s="35" t="s">
        <v>139</v>
      </c>
      <c r="C30" s="30" t="str">
        <f>'Pronouns Master'!F10</f>
        <v>eī</v>
      </c>
      <c r="D30" s="30" t="str">
        <f>'Pronouns Master'!G10</f>
        <v>eae</v>
      </c>
      <c r="E30" s="30" t="str">
        <f>'Pronouns Master'!H10</f>
        <v>ea</v>
      </c>
    </row>
  </sheetData>
  <mergeCells count="21">
    <mergeCell ref="A17:A23"/>
    <mergeCell ref="A24:A30"/>
    <mergeCell ref="A14:B16"/>
    <mergeCell ref="A10:B10"/>
    <mergeCell ref="C14:E14"/>
    <mergeCell ref="I1:K1"/>
    <mergeCell ref="C1:D1"/>
    <mergeCell ref="G11:G17"/>
    <mergeCell ref="G4:G10"/>
    <mergeCell ref="G1:H1"/>
    <mergeCell ref="G2:H2"/>
    <mergeCell ref="G3:H3"/>
    <mergeCell ref="A1:B1"/>
    <mergeCell ref="A2:B2"/>
    <mergeCell ref="A3:B3"/>
    <mergeCell ref="A4:B4"/>
    <mergeCell ref="A9:B9"/>
    <mergeCell ref="A5:B5"/>
    <mergeCell ref="A6:B6"/>
    <mergeCell ref="A7:B7"/>
    <mergeCell ref="A8:B8"/>
  </mergeCells>
  <conditionalFormatting sqref="K2 E15">
    <cfRule type="cellIs" priority="1" dxfId="0" operator="equal" stopIfTrue="1">
      <formula>""</formula>
    </cfRule>
  </conditionalFormatting>
  <printOptions/>
  <pageMargins left="0.75" right="0.75" top="1" bottom="1" header="0.5" footer="0.5"/>
  <pageSetup fitToHeight="1" fitToWidth="1" orientation="landscape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H45"/>
  <sheetViews>
    <sheetView workbookViewId="0" topLeftCell="A1">
      <selection activeCell="B4" sqref="B4"/>
    </sheetView>
  </sheetViews>
  <sheetFormatPr defaultColWidth="9.140625" defaultRowHeight="12.75"/>
  <cols>
    <col min="1" max="1" width="26.28125" style="1" bestFit="1" customWidth="1"/>
    <col min="2" max="2" width="12.28125" style="0" customWidth="1"/>
    <col min="3" max="3" width="11.28125" style="1" bestFit="1" customWidth="1"/>
    <col min="4" max="4" width="10.00390625" style="0" bestFit="1" customWidth="1"/>
    <col min="5" max="11" width="9.140625" style="1" customWidth="1"/>
    <col min="12" max="12" width="10.8515625" style="1" bestFit="1" customWidth="1"/>
    <col min="13" max="16384" width="9.140625" style="1" customWidth="1"/>
  </cols>
  <sheetData>
    <row r="1" spans="1:4" ht="15.75">
      <c r="A1" s="9"/>
      <c r="B1" s="8"/>
      <c r="C1" s="8"/>
      <c r="D1" s="8"/>
    </row>
    <row r="2" spans="1:4" ht="15.75">
      <c r="A2" s="8"/>
      <c r="B2" s="73"/>
      <c r="C2" s="73"/>
      <c r="D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">
        <v>156</v>
      </c>
      <c r="C5" s="8" t="s">
        <v>156</v>
      </c>
      <c r="D5" s="8" t="s">
        <v>156</v>
      </c>
      <c r="E5" s="8" t="s">
        <v>120</v>
      </c>
      <c r="F5" s="8" t="s">
        <v>120</v>
      </c>
      <c r="G5" s="8" t="s">
        <v>121</v>
      </c>
    </row>
    <row r="6" spans="1:7" ht="15.75">
      <c r="A6" s="9" t="s">
        <v>2</v>
      </c>
      <c r="B6" s="8" t="s">
        <v>156</v>
      </c>
      <c r="C6" s="8" t="s">
        <v>156</v>
      </c>
      <c r="D6" s="8" t="s">
        <v>156</v>
      </c>
      <c r="E6" s="8" t="s">
        <v>120</v>
      </c>
      <c r="F6" s="8" t="s">
        <v>120</v>
      </c>
      <c r="G6" s="8" t="s">
        <v>121</v>
      </c>
    </row>
    <row r="7" spans="1:7" ht="15.75">
      <c r="A7" s="9" t="s">
        <v>3</v>
      </c>
      <c r="B7" s="8" t="s">
        <v>156</v>
      </c>
      <c r="C7" s="8" t="s">
        <v>156</v>
      </c>
      <c r="D7" s="8" t="s">
        <v>156</v>
      </c>
      <c r="E7" s="8" t="str">
        <f aca="true" t="shared" si="0" ref="E7:G8">LEFT($E$6,LEN($E$6)-2)&amp;"ibus"</f>
        <v>tribus</v>
      </c>
      <c r="F7" s="8" t="str">
        <f t="shared" si="0"/>
        <v>tribus</v>
      </c>
      <c r="G7" s="8" t="str">
        <f t="shared" si="0"/>
        <v>tribus</v>
      </c>
    </row>
    <row r="8" spans="1:7" ht="15.75">
      <c r="A8" s="9" t="s">
        <v>4</v>
      </c>
      <c r="B8" s="8" t="s">
        <v>156</v>
      </c>
      <c r="C8" s="8" t="s">
        <v>156</v>
      </c>
      <c r="D8" s="8" t="s">
        <v>156</v>
      </c>
      <c r="E8" s="8" t="str">
        <f t="shared" si="0"/>
        <v>tribus</v>
      </c>
      <c r="F8" s="8" t="str">
        <f t="shared" si="0"/>
        <v>tribus</v>
      </c>
      <c r="G8" s="8" t="str">
        <f t="shared" si="0"/>
        <v>tribus</v>
      </c>
    </row>
    <row r="9" spans="1:7" ht="15.75">
      <c r="A9" s="9" t="s">
        <v>5</v>
      </c>
      <c r="B9" s="8" t="s">
        <v>156</v>
      </c>
      <c r="C9" s="8" t="s">
        <v>156</v>
      </c>
      <c r="D9" s="8" t="s">
        <v>156</v>
      </c>
      <c r="E9" s="8" t="str">
        <f>LEFT($E$6,LEN($E$6)-2)&amp;"ium"</f>
        <v>trium</v>
      </c>
      <c r="F9" s="8" t="str">
        <f>LEFT($E$6,LEN($E$6)-2)&amp;"ium"</f>
        <v>trium</v>
      </c>
      <c r="G9" s="8" t="str">
        <f>LEFT($E$6,LEN($E$6)-2)&amp;"ium"</f>
        <v>trium</v>
      </c>
    </row>
    <row r="10" spans="1:4" ht="15">
      <c r="A10" s="2"/>
      <c r="C10" s="2"/>
      <c r="D10" s="1"/>
    </row>
    <row r="11" ht="15">
      <c r="D11" s="1"/>
    </row>
    <row r="16" ht="15">
      <c r="E16" s="2"/>
    </row>
    <row r="18" ht="15">
      <c r="E18" s="2"/>
    </row>
    <row r="21" ht="15.75">
      <c r="H21" s="3"/>
    </row>
    <row r="25" ht="15">
      <c r="E25" s="2"/>
    </row>
    <row r="26" ht="15">
      <c r="E26" s="2"/>
    </row>
    <row r="27" ht="15">
      <c r="E27" s="2"/>
    </row>
    <row r="28" ht="15">
      <c r="E28" s="2"/>
    </row>
    <row r="30" ht="15">
      <c r="E30" s="2"/>
    </row>
    <row r="31" ht="15">
      <c r="E31" s="2"/>
    </row>
    <row r="32" ht="15">
      <c r="E32" s="2"/>
    </row>
    <row r="33" ht="15">
      <c r="E33" s="2"/>
    </row>
    <row r="40" ht="15">
      <c r="E40" s="2"/>
    </row>
    <row r="41" ht="15">
      <c r="E41" s="2"/>
    </row>
    <row r="42" ht="15">
      <c r="E42" s="2"/>
    </row>
    <row r="43" ht="15">
      <c r="E43" s="2"/>
    </row>
    <row r="44" spans="3:4" ht="15.75">
      <c r="C44" s="3"/>
      <c r="D44" s="3"/>
    </row>
    <row r="45" ht="15">
      <c r="D45" s="1"/>
    </row>
  </sheetData>
  <mergeCells count="3">
    <mergeCell ref="B2:D2"/>
    <mergeCell ref="B3:D3"/>
    <mergeCell ref="E3:G3"/>
  </mergeCells>
  <printOptions/>
  <pageMargins left="0.75" right="0.75" top="1" bottom="1" header="0.5" footer="0.5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H45"/>
  <sheetViews>
    <sheetView workbookViewId="0" topLeftCell="A1">
      <selection activeCell="B5" sqref="B5"/>
    </sheetView>
  </sheetViews>
  <sheetFormatPr defaultColWidth="9.140625" defaultRowHeight="12.75"/>
  <cols>
    <col min="1" max="1" width="26.28125" style="1" bestFit="1" customWidth="1"/>
    <col min="2" max="2" width="12.28125" style="0" customWidth="1"/>
    <col min="3" max="3" width="11.28125" style="1" bestFit="1" customWidth="1"/>
    <col min="4" max="4" width="10.00390625" style="0" bestFit="1" customWidth="1"/>
    <col min="5" max="5" width="12.28125" style="1" bestFit="1" customWidth="1"/>
    <col min="6" max="6" width="11.28125" style="1" bestFit="1" customWidth="1"/>
    <col min="7" max="7" width="8.57421875" style="1" customWidth="1"/>
    <col min="8" max="11" width="9.140625" style="1" customWidth="1"/>
    <col min="12" max="12" width="10.8515625" style="1" bestFit="1" customWidth="1"/>
    <col min="13" max="16384" width="9.140625" style="1" customWidth="1"/>
  </cols>
  <sheetData>
    <row r="1" spans="1:4" ht="15.75">
      <c r="A1" s="9"/>
      <c r="B1" s="8"/>
      <c r="C1" s="8"/>
      <c r="D1" s="8"/>
    </row>
    <row r="2" spans="1:4" ht="15.75">
      <c r="A2" s="8"/>
      <c r="B2" s="73"/>
      <c r="C2" s="73"/>
      <c r="D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">
        <v>122</v>
      </c>
      <c r="C5" s="8" t="s">
        <v>122</v>
      </c>
      <c r="D5" s="8" t="s">
        <v>122</v>
      </c>
      <c r="E5" s="8" t="s">
        <v>123</v>
      </c>
      <c r="F5" s="8" t="s">
        <v>123</v>
      </c>
      <c r="G5" s="8" t="s">
        <v>123</v>
      </c>
    </row>
    <row r="6" spans="1:7" ht="15.75">
      <c r="A6" s="9" t="s">
        <v>2</v>
      </c>
      <c r="B6" s="8" t="s">
        <v>122</v>
      </c>
      <c r="C6" s="8" t="s">
        <v>122</v>
      </c>
      <c r="D6" s="8" t="s">
        <v>122</v>
      </c>
      <c r="E6" s="8" t="s">
        <v>123</v>
      </c>
      <c r="F6" s="8" t="s">
        <v>123</v>
      </c>
      <c r="G6" s="8" t="s">
        <v>123</v>
      </c>
    </row>
    <row r="7" spans="1:7" ht="15.75">
      <c r="A7" s="9" t="s">
        <v>3</v>
      </c>
      <c r="B7" s="8" t="s">
        <v>122</v>
      </c>
      <c r="C7" s="8" t="s">
        <v>122</v>
      </c>
      <c r="D7" s="8" t="s">
        <v>122</v>
      </c>
      <c r="E7" s="8" t="s">
        <v>124</v>
      </c>
      <c r="F7" s="8" t="s">
        <v>124</v>
      </c>
      <c r="G7" s="8" t="s">
        <v>124</v>
      </c>
    </row>
    <row r="8" spans="1:7" ht="15.75">
      <c r="A8" s="9" t="s">
        <v>4</v>
      </c>
      <c r="B8" s="8" t="s">
        <v>122</v>
      </c>
      <c r="C8" s="8" t="s">
        <v>122</v>
      </c>
      <c r="D8" s="8" t="s">
        <v>122</v>
      </c>
      <c r="E8" s="8" t="s">
        <v>124</v>
      </c>
      <c r="F8" s="8" t="s">
        <v>124</v>
      </c>
      <c r="G8" s="8" t="s">
        <v>124</v>
      </c>
    </row>
    <row r="9" spans="1:7" ht="15.75">
      <c r="A9" s="9" t="s">
        <v>5</v>
      </c>
      <c r="B9" s="8" t="s">
        <v>122</v>
      </c>
      <c r="C9" s="8" t="s">
        <v>122</v>
      </c>
      <c r="D9" s="8" t="s">
        <v>122</v>
      </c>
      <c r="E9" s="8" t="s">
        <v>125</v>
      </c>
      <c r="F9" s="8" t="s">
        <v>125</v>
      </c>
      <c r="G9" s="8" t="s">
        <v>125</v>
      </c>
    </row>
    <row r="10" spans="1:4" ht="15">
      <c r="A10" s="2"/>
      <c r="C10" s="2"/>
      <c r="D10" s="1"/>
    </row>
    <row r="11" ht="15">
      <c r="D11" s="1"/>
    </row>
    <row r="16" ht="15">
      <c r="E16" s="2"/>
    </row>
    <row r="18" ht="15">
      <c r="E18" s="2"/>
    </row>
    <row r="21" ht="15.75">
      <c r="H21" s="3"/>
    </row>
    <row r="25" ht="15">
      <c r="E25" s="2"/>
    </row>
    <row r="26" ht="15">
      <c r="E26" s="2"/>
    </row>
    <row r="27" ht="15">
      <c r="E27" s="2"/>
    </row>
    <row r="28" ht="15">
      <c r="E28" s="2"/>
    </row>
    <row r="30" ht="15">
      <c r="E30" s="2"/>
    </row>
    <row r="31" ht="15">
      <c r="E31" s="2"/>
    </row>
    <row r="32" ht="15">
      <c r="E32" s="2"/>
    </row>
    <row r="33" ht="15">
      <c r="E33" s="2"/>
    </row>
    <row r="40" ht="15">
      <c r="E40" s="2"/>
    </row>
    <row r="41" ht="15">
      <c r="E41" s="2"/>
    </row>
    <row r="42" ht="15">
      <c r="E42" s="2"/>
    </row>
    <row r="43" ht="15">
      <c r="E43" s="2"/>
    </row>
    <row r="44" spans="3:4" ht="15.75">
      <c r="C44" s="3"/>
      <c r="D44" s="3"/>
    </row>
    <row r="45" ht="15">
      <c r="D45" s="1"/>
    </row>
  </sheetData>
  <mergeCells count="3">
    <mergeCell ref="B2:D2"/>
    <mergeCell ref="B3:D3"/>
    <mergeCell ref="E3:G3"/>
  </mergeCells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K45"/>
  <sheetViews>
    <sheetView workbookViewId="0" topLeftCell="A1">
      <selection activeCell="B9" sqref="B9"/>
    </sheetView>
  </sheetViews>
  <sheetFormatPr defaultColWidth="9.140625" defaultRowHeight="12.75"/>
  <cols>
    <col min="1" max="1" width="26.28125" style="1" bestFit="1" customWidth="1"/>
    <col min="2" max="2" width="12.28125" style="1" bestFit="1" customWidth="1"/>
    <col min="3" max="3" width="11.28125" style="1" bestFit="1" customWidth="1"/>
    <col min="4" max="4" width="8.57421875" style="1" customWidth="1"/>
    <col min="5" max="5" width="12.28125" style="0" customWidth="1"/>
    <col min="6" max="6" width="11.28125" style="1" bestFit="1" customWidth="1"/>
    <col min="7" max="7" width="10.00390625" style="0" bestFit="1" customWidth="1"/>
    <col min="8" max="14" width="9.140625" style="1" customWidth="1"/>
    <col min="15" max="15" width="10.8515625" style="1" bestFit="1" customWidth="1"/>
    <col min="16" max="16384" width="9.140625" style="1" customWidth="1"/>
  </cols>
  <sheetData>
    <row r="1" spans="1:7" ht="15.75">
      <c r="A1" s="9"/>
      <c r="B1" s="8"/>
      <c r="C1" s="8"/>
      <c r="D1" s="8"/>
      <c r="E1" s="8"/>
      <c r="F1" s="8"/>
      <c r="G1" s="8"/>
    </row>
    <row r="2" spans="1:7" ht="15.75">
      <c r="A2" s="8"/>
      <c r="B2" s="73" t="s">
        <v>110</v>
      </c>
      <c r="C2" s="73"/>
      <c r="D2" s="73"/>
      <c r="E2" s="73"/>
      <c r="F2" s="73"/>
      <c r="G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tr">
        <f>IF('Adjectives Master'!$D$4="uterque","uter",'Adjectives Master'!D4)</f>
        <v>sapiēns</v>
      </c>
      <c r="C5" s="8" t="str">
        <f>IF('Adjectives Master'!$D$4="uterque","utra",'Adjectives Master'!E4)</f>
        <v>sapiēns</v>
      </c>
      <c r="D5" s="8" t="str">
        <f>IF('Adjectives Master'!$D$4="uterque","utrum",'Adjectives Master'!F4)</f>
        <v>sapiēns</v>
      </c>
      <c r="E5" s="8" t="str">
        <f>IF($B$9="plūris",LEFT($B$9,LEN($B$9)-2)&amp;"ēs",IF($B$5="is",LEFT($C$5,LEN($C$5)-1),LEFT($D$5,LEN($D$5)-2))&amp;"ī")</f>
        <v>sapiēī</v>
      </c>
      <c r="F5" s="8" t="str">
        <f>IF($B$9="plūris",LEFT($B$9,LEN($B$9)-2)&amp;"ēs",IF($B$5="is",LEFT($C$5,LEN($C$5)-1),LEFT($D$5,LEN($D$5)-2))&amp;"ae")</f>
        <v>sapiēae</v>
      </c>
      <c r="G5" s="8" t="str">
        <f>IF($B$9="plūris",LEFT($B$9,LEN($B$9)-2)&amp;"a",IF($B$5="is",LEFT($C$5,LEN($C$5)-1),LEFT($D$5,LEN($D$5)-2))&amp;IF($B$5="hic","aec",IF(OR($B$5="quī",$B$5="quis"),"ae","a")))</f>
        <v>sapiēa</v>
      </c>
    </row>
    <row r="6" spans="1:7" ht="15.75">
      <c r="A6" s="9" t="s">
        <v>2</v>
      </c>
      <c r="B6" s="8" t="str">
        <f>IF($B$5="plūs",$B$5,IF($B$5="is",LEFT($C$5,LEN($C$5)-1),LEFT($D$5,LEN($D$5)-2))&amp;IF($B$5="hic","unc",IF(OR($B$5="quī",$B$5="quis"),"em","um")))</f>
        <v>sapiēum</v>
      </c>
      <c r="C6" s="8" t="str">
        <f>IF($B$5="plūs",$B$5,IF($B$5="is",LEFT($C$5,LEN($C$5)-1),LEFT($D$5,LEN($D$5)-2))&amp;IF($B$5="hic","anc","am"))</f>
        <v>sapiēam</v>
      </c>
      <c r="D6" s="8" t="str">
        <f>D5</f>
        <v>sapiēns</v>
      </c>
      <c r="E6" s="8" t="str">
        <f>IF($B$9="plūris",LEFT($B$9,LEN($B$9)-2)&amp;"ēs",IF($B$5="is",LEFT($C$5,LEN($C$5)-1),LEFT($D$5,LEN($D$5)-2))&amp;"ōs")</f>
        <v>sapiēōs</v>
      </c>
      <c r="F6" s="8" t="str">
        <f>IF($B$9="plūris",LEFT($B$9,LEN($B$9)-2)&amp;"ēs",IF($B$5="is",LEFT($C$5,LEN($C$5)-1),LEFT($D$5,LEN($D$5)-2))&amp;"ās")</f>
        <v>sapiēās</v>
      </c>
      <c r="G6" s="8" t="str">
        <f>G5</f>
        <v>sapiēa</v>
      </c>
    </row>
    <row r="7" spans="1:7" ht="15.75">
      <c r="A7" s="9" t="s">
        <v>3</v>
      </c>
      <c r="B7" s="8" t="str">
        <f>IF($B$5="is",LEFT($C$5,LEN($C$5)-1),IF($B$5="plūs",LEFT($B$9,LEN($B$9)-2),LEFT($D$5,LEN($D$5)-2)))&amp;IF($B$5="hic","ōc",IF($B$5="plūs","e","ō"))</f>
        <v>sapiēō</v>
      </c>
      <c r="C7" s="8" t="str">
        <f>IF($B$5="is",LEFT($C$5,LEN($C$5)-1),IF($B$5="plūs",LEFT($B$9,LEN($B$9)-2),LEFT($D$5,LEN($D$5)-2)))&amp;IF($B$5="hic","āc",IF($B$5="plūs","e","ā"))</f>
        <v>sapiēā</v>
      </c>
      <c r="D7" s="8" t="str">
        <f>IF($B$5="is",LEFT($C$5,LEN($C$5)-1),IF($B$5="plūs",LEFT($B$9,LEN($B$9)-2),LEFT($D$5,LEN($D$5)-2)))&amp;IF($B$5="hic","ōc",IF($B$5="plūs","e","ō"))</f>
        <v>sapiēō</v>
      </c>
      <c r="E7" s="8" t="str">
        <f aca="true" t="shared" si="0" ref="E7:G8">IF($B$9="plūris",LEFT($B$9,LEN($B$9)-2)&amp;"ibus",IF($B$5="is",LEFT($C$5,LEN($C$5)-1),LEFT($D$5,LEN($D$5)-2))&amp;"īs")</f>
        <v>sapiēīs</v>
      </c>
      <c r="F7" s="8" t="str">
        <f t="shared" si="0"/>
        <v>sapiēīs</v>
      </c>
      <c r="G7" s="8" t="str">
        <f t="shared" si="0"/>
        <v>sapiēīs</v>
      </c>
    </row>
    <row r="8" spans="1:7" ht="15.75">
      <c r="A8" s="9" t="s">
        <v>4</v>
      </c>
      <c r="B8" s="8" t="str">
        <f>IF($B$5="is",LEFT($C$5,LEN($C$5)-1),IF($B$5="plūs",LEFT($B$9,LEN($B$9)-2),LEFT($D$5,LEN($D$5)-2)))&amp;IF($B$5="hic","uic","ī")</f>
        <v>sapiēī</v>
      </c>
      <c r="C8" s="8" t="str">
        <f>IF($B$5="is",LEFT($C$5,LEN($C$5)-1),IF($B$5="plūs",LEFT($B$9,LEN($B$9)-2),LEFT($D$5,LEN($D$5)-2)))&amp;IF($B$5="hic","uic","ī")</f>
        <v>sapiēī</v>
      </c>
      <c r="D8" s="8" t="str">
        <f>IF($B$5="is",LEFT($C$5,LEN($C$5)-1),IF($B$5="plūs",LEFT($B$9,LEN($B$9)-2),LEFT($D$5,LEN($D$5)-2)))&amp;IF($B$5="hic","uic","ī")</f>
        <v>sapiēī</v>
      </c>
      <c r="E8" s="8" t="str">
        <f t="shared" si="0"/>
        <v>sapiēīs</v>
      </c>
      <c r="F8" s="8" t="str">
        <f t="shared" si="0"/>
        <v>sapiēīs</v>
      </c>
      <c r="G8" s="8" t="str">
        <f t="shared" si="0"/>
        <v>sapiēīs</v>
      </c>
    </row>
    <row r="9" spans="1:7" ht="15.75">
      <c r="A9" s="9" t="s">
        <v>5</v>
      </c>
      <c r="B9" s="8" t="str">
        <f>IF($B$5="plūs","plūris",IF(OR($B$5="quī",$B$5="quis"),"cuius",IF($B$5="is",LEFT($C$5,LEN($C$5)-1),LEFT($D$5,LEN($D$5)-2))&amp;IF($B$5="hic","uius",IF(OR(B5="iste",B5="ille",B5="ipse",RIGHT($B$5,3)="lus",RIGHT($B$5,3)="tus",RIGHT($B$5,3)="ter"),"īus","ius"))))</f>
        <v>sapiēius</v>
      </c>
      <c r="C9" s="8" t="str">
        <f>IF($B$5="plūs",$B$9,IF(OR($B$5="quī",$B$5="quis"),"cuius",IF($B$5="is",LEFT($C$5,LEN($C$5)-1),LEFT($D$5,LEN($D$5)-2))&amp;IF($B$5="hic","uius",IF(OR(B5="iste",B5="ille",B5="ipse",RIGHT($B$5,3)="lus",RIGHT($B$5,3)="tus",RIGHT($B$5,3)="ter"),"īus","ius"))))</f>
        <v>sapiēius</v>
      </c>
      <c r="D9" s="8" t="str">
        <f>IF($B$5="plūs",$C$9,IF(OR($B$5="quī",$B$5="quis"),"cuius",IF($B$5="is",LEFT($C$5,LEN($C$5)-1),LEFT($D$5,LEN($D$5)-2))&amp;IF($B$5="hic","uius",IF(OR(B5="iste",B5="ille",B5="ipse",RIGHT($B$5,3)="lus",RIGHT($B$5,3)="tus",RIGHT($B$5,3)="ter"),"īus","ius"))))</f>
        <v>sapiēius</v>
      </c>
      <c r="E9" s="8" t="str">
        <f>IF($B$9="plūris",LEFT($B$9,LEN($B$9)-2)&amp;"ium",LEFT(B$7,LEN(B$7)-IF($B$5="hic",1,0))&amp;"rum")</f>
        <v>sapiēōrum</v>
      </c>
      <c r="F9" s="8" t="str">
        <f>IF($B$9="plūris",LEFT($B$9,LEN($B$9)-2)&amp;"ium",LEFT(C$7,LEN(C$7)-IF($B$5="hic",1,0))&amp;"rum")</f>
        <v>sapiēārum</v>
      </c>
      <c r="G9" s="8" t="str">
        <f>IF($B$9="plūris",LEFT($B$9,LEN($B$9)-2)&amp;"ium",LEFT(D$7,LEN(D$7)-IF($B$5="hic",1,0))&amp;"rum")</f>
        <v>sapiēōrum</v>
      </c>
    </row>
    <row r="10" spans="1:7" ht="15">
      <c r="A10" s="2"/>
      <c r="F10" s="2"/>
      <c r="G10" s="1"/>
    </row>
    <row r="11" spans="4:7" ht="15">
      <c r="D11" s="2"/>
      <c r="G11" s="1"/>
    </row>
    <row r="12" spans="2:3" ht="15.75">
      <c r="B12" s="3"/>
      <c r="C12" s="2"/>
    </row>
    <row r="16" spans="3:8" ht="15">
      <c r="C16" s="2"/>
      <c r="H16" s="2"/>
    </row>
    <row r="18" spans="3:8" ht="15">
      <c r="C18" s="2"/>
      <c r="H18" s="2"/>
    </row>
    <row r="21" ht="15.75">
      <c r="K21" s="3"/>
    </row>
    <row r="25" spans="3:8" ht="15">
      <c r="C25" s="2"/>
      <c r="H25" s="2"/>
    </row>
    <row r="26" spans="3:8" ht="15">
      <c r="C26" s="2"/>
      <c r="H26" s="2"/>
    </row>
    <row r="27" spans="3:8" ht="15">
      <c r="C27" s="2"/>
      <c r="H27" s="2"/>
    </row>
    <row r="28" spans="3:8" ht="15">
      <c r="C28" s="2"/>
      <c r="H28" s="2"/>
    </row>
    <row r="30" spans="3:8" ht="15">
      <c r="C30" s="2"/>
      <c r="H30" s="2"/>
    </row>
    <row r="31" spans="3:8" ht="15">
      <c r="C31" s="2"/>
      <c r="H31" s="2"/>
    </row>
    <row r="32" spans="3:8" ht="15">
      <c r="C32" s="2"/>
      <c r="H32" s="2"/>
    </row>
    <row r="33" spans="3:8" ht="15">
      <c r="C33" s="2"/>
      <c r="H33" s="2"/>
    </row>
    <row r="40" spans="3:8" ht="15">
      <c r="C40" s="2"/>
      <c r="H40" s="2"/>
    </row>
    <row r="41" spans="3:8" ht="15">
      <c r="C41" s="2"/>
      <c r="H41" s="2"/>
    </row>
    <row r="42" spans="3:8" ht="15">
      <c r="C42" s="2"/>
      <c r="H42" s="2"/>
    </row>
    <row r="43" spans="3:8" ht="15">
      <c r="C43" s="2"/>
      <c r="H43" s="2"/>
    </row>
    <row r="44" spans="2:7" ht="15.75">
      <c r="B44" s="3"/>
      <c r="F44" s="3"/>
      <c r="G44" s="3"/>
    </row>
    <row r="45" spans="4:7" ht="15.75">
      <c r="D45" s="3"/>
      <c r="G45" s="1"/>
    </row>
  </sheetData>
  <mergeCells count="3">
    <mergeCell ref="B2:G2"/>
    <mergeCell ref="B3:D3"/>
    <mergeCell ref="E3:G3"/>
  </mergeCells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workbookViewId="0" topLeftCell="A1">
      <selection activeCell="G6" sqref="G6"/>
    </sheetView>
  </sheetViews>
  <sheetFormatPr defaultColWidth="9.140625" defaultRowHeight="12.75"/>
  <cols>
    <col min="1" max="1" width="26.28125" style="1" bestFit="1" customWidth="1"/>
    <col min="2" max="2" width="12.28125" style="1" bestFit="1" customWidth="1"/>
    <col min="3" max="3" width="11.28125" style="1" bestFit="1" customWidth="1"/>
    <col min="4" max="4" width="8.57421875" style="1" customWidth="1"/>
    <col min="5" max="5" width="12.28125" style="0" customWidth="1"/>
    <col min="6" max="6" width="11.28125" style="1" bestFit="1" customWidth="1"/>
    <col min="7" max="7" width="10.00390625" style="0" bestFit="1" customWidth="1"/>
    <col min="8" max="14" width="9.140625" style="1" customWidth="1"/>
    <col min="15" max="15" width="10.8515625" style="1" bestFit="1" customWidth="1"/>
    <col min="16" max="16384" width="9.140625" style="1" customWidth="1"/>
  </cols>
  <sheetData>
    <row r="1" spans="1:7" ht="15.75">
      <c r="A1" s="9"/>
      <c r="B1" s="8"/>
      <c r="C1" s="8"/>
      <c r="D1" s="8"/>
      <c r="E1" s="8"/>
      <c r="F1" s="8"/>
      <c r="G1" s="8"/>
    </row>
    <row r="2" spans="1:7" ht="15.75">
      <c r="A2" s="8"/>
      <c r="B2" s="73" t="s">
        <v>110</v>
      </c>
      <c r="C2" s="73"/>
      <c r="D2" s="73"/>
      <c r="E2" s="73"/>
      <c r="F2" s="73"/>
      <c r="G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tr">
        <f>'Pronouns Master'!C4</f>
        <v>is</v>
      </c>
      <c r="C5" s="8" t="str">
        <f>IF('Adjectives Master'!$D$4="uterque","utra",'Pronouns Master'!D4)</f>
        <v>ea</v>
      </c>
      <c r="D5" s="8" t="str">
        <f>IF('Adjectives Master'!$D$4="uterque","utrum",'Pronouns Master'!E4)</f>
        <v>id</v>
      </c>
      <c r="E5" s="8" t="str">
        <f>IF($B$5="is",LEFT($C$5,LEN($C$5)-1),LEFT($D$5,LEN($D$5)-2))&amp;"ī"</f>
        <v>eī</v>
      </c>
      <c r="F5" s="8" t="str">
        <f>IF($B$5="is",LEFT($C$5,LEN($C$5)-1),LEFT($D$5,LEN($D$5)-2))&amp;"ae"</f>
        <v>eae</v>
      </c>
      <c r="G5" s="8" t="str">
        <f>IF($B$5="is",LEFT($C$5,LEN($C$5)-1),LEFT($D$5,LEN($D$5)-2))&amp;IF($B$5="hic","aec","a")</f>
        <v>ea</v>
      </c>
    </row>
    <row r="6" spans="1:7" ht="15.75">
      <c r="A6" s="9" t="s">
        <v>2</v>
      </c>
      <c r="B6" s="8" t="str">
        <f>IF($B$5="is",LEFT($C$5,LEN($C$5)-1),LEFT($D$5,LEN($D$5)-2))&amp;IF($B$5="hic","unc","um")</f>
        <v>eum</v>
      </c>
      <c r="C6" s="8" t="str">
        <f>IF($B$5="is",LEFT($C$5,LEN($C$5)-1),LEFT($D$5,LEN($D$5)-2))&amp;IF($B$5="hic","anc","am")</f>
        <v>eam</v>
      </c>
      <c r="D6" s="8" t="str">
        <f>D5</f>
        <v>id</v>
      </c>
      <c r="E6" s="8" t="str">
        <f>IF($B$5="is",LEFT($C$5,LEN($C$5)-1),LEFT($D$5,LEN($D$5)-2))&amp;"ōs"</f>
        <v>eōs</v>
      </c>
      <c r="F6" s="8" t="str">
        <f>IF($B$5="is",LEFT($C$5,LEN($C$5)-1),LEFT($D$5,LEN($D$5)-2))&amp;"ās"</f>
        <v>eās</v>
      </c>
      <c r="G6" s="8" t="str">
        <f>G5</f>
        <v>ea</v>
      </c>
    </row>
    <row r="7" spans="1:7" ht="15.75">
      <c r="A7" s="9" t="s">
        <v>3</v>
      </c>
      <c r="B7" s="8" t="str">
        <f>IF($B$5="is",LEFT($C$5,LEN($C$5)-1),LEFT($D$5,LEN($D$5)-2))&amp;IF($B$5="hic","ōc","ō")</f>
        <v>eō</v>
      </c>
      <c r="C7" s="8" t="str">
        <f>IF($B$5="is",LEFT($C$5,LEN($C$5)-1),LEFT($D$5,LEN($D$5)-2))&amp;IF($B$5="hic","āc","ā")</f>
        <v>eā</v>
      </c>
      <c r="D7" s="8" t="str">
        <f>IF($B$5="is",LEFT($C$5,LEN($C$5)-1),LEFT($D$5,LEN($D$5)-2))&amp;IF($B$5="hic","ōc","ō")</f>
        <v>eō</v>
      </c>
      <c r="E7" s="8" t="str">
        <f aca="true" t="shared" si="0" ref="E7:G8">IF($B$5="is",LEFT($C$5,LEN($C$5)-1),LEFT($D$5,LEN($D$5)-2))&amp;"īs"</f>
        <v>eīs</v>
      </c>
      <c r="F7" s="8" t="str">
        <f t="shared" si="0"/>
        <v>eīs</v>
      </c>
      <c r="G7" s="8" t="str">
        <f t="shared" si="0"/>
        <v>eīs</v>
      </c>
    </row>
    <row r="8" spans="1:7" ht="15.75">
      <c r="A8" s="9" t="s">
        <v>4</v>
      </c>
      <c r="B8" s="8" t="str">
        <f>IF($B$5="is",LEFT($C$5,LEN($C$5)-1),LEFT($D$5,LEN($D$5)-2))&amp;IF($B$5="hic","uic","ī")</f>
        <v>eī</v>
      </c>
      <c r="C8" s="8" t="str">
        <f>IF($B$5="is",LEFT($C$5,LEN($C$5)-1),LEFT($D$5,LEN($D$5)-2))&amp;IF($B$5="hic","uic","ī")</f>
        <v>eī</v>
      </c>
      <c r="D8" s="8" t="str">
        <f>IF($B$5="is",LEFT($C$5,LEN($C$5)-1),LEFT($D$5,LEN($D$5)-2))&amp;IF($B$5="hic","uic","ī")</f>
        <v>eī</v>
      </c>
      <c r="E8" s="8" t="str">
        <f t="shared" si="0"/>
        <v>eīs</v>
      </c>
      <c r="F8" s="8" t="str">
        <f t="shared" si="0"/>
        <v>eīs</v>
      </c>
      <c r="G8" s="8" t="str">
        <f t="shared" si="0"/>
        <v>eīs</v>
      </c>
    </row>
    <row r="9" spans="1:7" ht="15.75">
      <c r="A9" s="9" t="s">
        <v>5</v>
      </c>
      <c r="B9" s="8" t="str">
        <f>IF($B$5="is",LEFT($C$5,LEN($C$5)-1),LEFT($D$5,LEN($D$5)-2))&amp;IF($B$5="hic","uius",IF(OR(B5="iste",B5="ille",B5="ipse"),"īus","ius"))</f>
        <v>eius</v>
      </c>
      <c r="C9" s="8" t="str">
        <f>IF($B$5="is",LEFT($C$5,LEN($C$5)-1),LEFT($D$5,LEN($D$5)-2))&amp;IF($B$5="hic","uius",IF(OR(B5="iste",B5="ille",B5="ipse"),"īus","ius"))</f>
        <v>eius</v>
      </c>
      <c r="D9" s="8" t="str">
        <f>IF($B$5="is",LEFT($C$5,LEN($C$5)-1),LEFT($D$5,LEN($D$5)-2))&amp;IF($B$5="hic","uius",IF(OR(B5="iste",B5="ille",B5="ipse"),"īus","ius"))</f>
        <v>eius</v>
      </c>
      <c r="E9" s="8" t="str">
        <f>LEFT(B$7,LEN(B$7)-IF($B$5="hic",1,0))&amp;"rum"</f>
        <v>eōrum</v>
      </c>
      <c r="F9" s="8" t="str">
        <f>LEFT(C$7,LEN(C$7)-IF($B$5="hic",1,0))&amp;"rum"</f>
        <v>eārum</v>
      </c>
      <c r="G9" s="8" t="str">
        <f>LEFT(D$7,LEN(D$7)-IF($B$5="hic",1,0))&amp;"rum"</f>
        <v>eōrum</v>
      </c>
    </row>
    <row r="10" spans="1:7" ht="15">
      <c r="A10" s="2"/>
      <c r="F10" s="2"/>
      <c r="G10" s="1"/>
    </row>
    <row r="11" spans="4:7" ht="15">
      <c r="D11" s="2"/>
      <c r="G11" s="1"/>
    </row>
    <row r="12" spans="2:3" ht="15.75">
      <c r="B12" s="3"/>
      <c r="C12" s="2"/>
    </row>
    <row r="16" spans="3:8" ht="15">
      <c r="C16" s="2"/>
      <c r="H16" s="2"/>
    </row>
    <row r="18" spans="3:8" ht="15">
      <c r="C18" s="2"/>
      <c r="H18" s="2"/>
    </row>
    <row r="21" ht="15.75">
      <c r="K21" s="3"/>
    </row>
    <row r="25" spans="3:8" ht="15">
      <c r="C25" s="2"/>
      <c r="H25" s="2"/>
    </row>
    <row r="26" spans="3:8" ht="15">
      <c r="C26" s="2"/>
      <c r="H26" s="2"/>
    </row>
    <row r="27" spans="3:8" ht="15">
      <c r="C27" s="2"/>
      <c r="H27" s="2"/>
    </row>
    <row r="28" spans="3:8" ht="15">
      <c r="C28" s="2"/>
      <c r="H28" s="2"/>
    </row>
    <row r="30" spans="3:8" ht="15">
      <c r="C30" s="2"/>
      <c r="H30" s="2"/>
    </row>
    <row r="31" spans="3:8" ht="15">
      <c r="C31" s="2"/>
      <c r="H31" s="2"/>
    </row>
    <row r="32" spans="3:8" ht="15">
      <c r="C32" s="2"/>
      <c r="H32" s="2"/>
    </row>
    <row r="33" spans="3:8" ht="15">
      <c r="C33" s="2"/>
      <c r="H33" s="2"/>
    </row>
    <row r="40" spans="3:8" ht="15">
      <c r="C40" s="2"/>
      <c r="H40" s="2"/>
    </row>
    <row r="41" spans="3:8" ht="15">
      <c r="C41" s="2"/>
      <c r="H41" s="2"/>
    </row>
    <row r="42" spans="3:8" ht="15">
      <c r="C42" s="2"/>
      <c r="H42" s="2"/>
    </row>
    <row r="43" spans="3:8" ht="15">
      <c r="C43" s="2"/>
      <c r="H43" s="2"/>
    </row>
    <row r="44" spans="2:7" ht="15.75">
      <c r="B44" s="3"/>
      <c r="F44" s="3"/>
      <c r="G44" s="3"/>
    </row>
    <row r="45" spans="4:7" ht="15.75">
      <c r="D45" s="3"/>
      <c r="G45" s="1"/>
    </row>
  </sheetData>
  <mergeCells count="3">
    <mergeCell ref="B2:G2"/>
    <mergeCell ref="B3:D3"/>
    <mergeCell ref="E3:G3"/>
  </mergeCells>
  <printOptions/>
  <pageMargins left="0.75" right="0.75" top="1" bottom="1" header="0.5" footer="0.5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"/>
  <dimension ref="A1:K45"/>
  <sheetViews>
    <sheetView workbookViewId="0" topLeftCell="A1">
      <selection activeCell="B5" sqref="B5:D5"/>
    </sheetView>
  </sheetViews>
  <sheetFormatPr defaultColWidth="9.140625" defaultRowHeight="12.75"/>
  <cols>
    <col min="1" max="1" width="26.28125" style="1" bestFit="1" customWidth="1"/>
    <col min="2" max="2" width="12.28125" style="1" bestFit="1" customWidth="1"/>
    <col min="3" max="3" width="11.28125" style="1" bestFit="1" customWidth="1"/>
    <col min="4" max="4" width="8.57421875" style="1" customWidth="1"/>
    <col min="5" max="5" width="12.28125" style="0" customWidth="1"/>
    <col min="6" max="6" width="11.28125" style="1" bestFit="1" customWidth="1"/>
    <col min="7" max="7" width="10.00390625" style="0" bestFit="1" customWidth="1"/>
    <col min="8" max="14" width="9.140625" style="1" customWidth="1"/>
    <col min="15" max="15" width="10.8515625" style="1" bestFit="1" customWidth="1"/>
    <col min="16" max="16384" width="9.140625" style="1" customWidth="1"/>
  </cols>
  <sheetData>
    <row r="1" spans="1:7" ht="15.75">
      <c r="A1" s="9"/>
      <c r="B1" s="8"/>
      <c r="C1" s="8"/>
      <c r="D1" s="8"/>
      <c r="E1" s="8"/>
      <c r="F1" s="8"/>
      <c r="G1" s="8"/>
    </row>
    <row r="2" spans="1:7" ht="15.75">
      <c r="A2" s="8"/>
      <c r="B2" s="73" t="s">
        <v>110</v>
      </c>
      <c r="C2" s="73"/>
      <c r="D2" s="73"/>
      <c r="E2" s="73"/>
      <c r="F2" s="73"/>
      <c r="G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tr">
        <f>'Pronouns Master'!C4</f>
        <v>is</v>
      </c>
      <c r="C5" s="8" t="str">
        <f>'Pronouns Master'!D4</f>
        <v>ea</v>
      </c>
      <c r="D5" s="8" t="str">
        <f>'Pronouns Master'!E4</f>
        <v>id</v>
      </c>
      <c r="E5" s="8" t="e">
        <f>LEFT($C$5,LEN($C$5)-4)&amp;"īdem"</f>
        <v>#VALUE!</v>
      </c>
      <c r="F5" s="8" t="e">
        <f>LEFT($C$5,LEN($C$5)-4)&amp;"aedem"</f>
        <v>#VALUE!</v>
      </c>
      <c r="G5" s="8" t="e">
        <f>LEFT($C$5,LEN($C$5)-3)&amp;"dem"</f>
        <v>#VALUE!</v>
      </c>
    </row>
    <row r="6" spans="1:7" ht="15.75">
      <c r="A6" s="9" t="s">
        <v>2</v>
      </c>
      <c r="B6" s="8" t="e">
        <f>LEFT($C$5,LEN($C$5)-4)&amp;"undem"</f>
        <v>#VALUE!</v>
      </c>
      <c r="C6" s="8" t="e">
        <f>LEFT($C$5,LEN($C$5)-3)&amp;"ndem"</f>
        <v>#VALUE!</v>
      </c>
      <c r="D6" s="8" t="str">
        <f>D5</f>
        <v>id</v>
      </c>
      <c r="E6" s="8" t="e">
        <f>LEFT($C$5,LEN($C$5)-4)&amp;"ōsdem"</f>
        <v>#VALUE!</v>
      </c>
      <c r="F6" s="8" t="e">
        <f>LEFT($C$5,LEN($C$5)-4)&amp;"āsdem"</f>
        <v>#VALUE!</v>
      </c>
      <c r="G6" s="8" t="e">
        <f>G5</f>
        <v>#VALUE!</v>
      </c>
    </row>
    <row r="7" spans="1:7" ht="15.75">
      <c r="A7" s="9" t="s">
        <v>3</v>
      </c>
      <c r="B7" s="8" t="e">
        <f>LEFT($C$5,LEN($C$5)-4)&amp;"ōdem"</f>
        <v>#VALUE!</v>
      </c>
      <c r="C7" s="8" t="e">
        <f>LEFT($C$5,LEN($C$5)-4)&amp;"ādem"</f>
        <v>#VALUE!</v>
      </c>
      <c r="D7" s="8" t="e">
        <f>LEFT($C$5,LEN($C$5)-4)&amp;"ōdem"</f>
        <v>#VALUE!</v>
      </c>
      <c r="E7" s="8" t="e">
        <f aca="true" t="shared" si="0" ref="E7:G8">LEFT($D$5,LEN($D$5)-4)&amp;"īsdem"</f>
        <v>#VALUE!</v>
      </c>
      <c r="F7" s="8" t="e">
        <f t="shared" si="0"/>
        <v>#VALUE!</v>
      </c>
      <c r="G7" s="8" t="e">
        <f t="shared" si="0"/>
        <v>#VALUE!</v>
      </c>
    </row>
    <row r="8" spans="1:7" ht="15.75">
      <c r="A8" s="9" t="s">
        <v>4</v>
      </c>
      <c r="B8" s="8" t="e">
        <f>LEFT($C$5,LEN($C$5)-4)&amp;"īdem"</f>
        <v>#VALUE!</v>
      </c>
      <c r="C8" s="8" t="e">
        <f>LEFT($C$5,LEN($C$5)-4)&amp;"īdem"</f>
        <v>#VALUE!</v>
      </c>
      <c r="D8" s="8" t="e">
        <f>LEFT($C$5,LEN($C$5)-4)&amp;"īdem"</f>
        <v>#VALUE!</v>
      </c>
      <c r="E8" s="8" t="e">
        <f t="shared" si="0"/>
        <v>#VALUE!</v>
      </c>
      <c r="F8" s="8" t="e">
        <f t="shared" si="0"/>
        <v>#VALUE!</v>
      </c>
      <c r="G8" s="8" t="e">
        <f t="shared" si="0"/>
        <v>#VALUE!</v>
      </c>
    </row>
    <row r="9" spans="1:7" ht="15.75">
      <c r="A9" s="9" t="s">
        <v>5</v>
      </c>
      <c r="B9" s="8" t="e">
        <f>LEFT($C$5,LEN($C$5)-4)&amp;"iusdem"</f>
        <v>#VALUE!</v>
      </c>
      <c r="C9" s="8" t="e">
        <f>LEFT($C$5,LEN($C$5)-4)&amp;"iusdem"</f>
        <v>#VALUE!</v>
      </c>
      <c r="D9" s="8" t="e">
        <f>LEFT($C$5,LEN($C$5)-4)&amp;"iusdem"</f>
        <v>#VALUE!</v>
      </c>
      <c r="E9" s="8" t="e">
        <f>LEFT(B$7,LEN(B$7)-3)&amp;"rundem"</f>
        <v>#VALUE!</v>
      </c>
      <c r="F9" s="8" t="e">
        <f>LEFT(C$7,LEN(C$7)-3)&amp;"rundem"</f>
        <v>#VALUE!</v>
      </c>
      <c r="G9" s="8" t="e">
        <f>LEFT(D$7,LEN(D$7)-3)&amp;"rundem"</f>
        <v>#VALUE!</v>
      </c>
    </row>
    <row r="10" spans="1:7" ht="15">
      <c r="A10" s="2"/>
      <c r="F10" s="2"/>
      <c r="G10" s="1"/>
    </row>
    <row r="11" spans="4:7" ht="15">
      <c r="D11" s="2"/>
      <c r="G11" s="1"/>
    </row>
    <row r="12" spans="2:3" ht="15.75">
      <c r="B12" s="3"/>
      <c r="C12" s="2"/>
    </row>
    <row r="16" spans="3:8" ht="15">
      <c r="C16" s="2"/>
      <c r="H16" s="2"/>
    </row>
    <row r="18" spans="3:8" ht="15">
      <c r="C18" s="2"/>
      <c r="H18" s="2"/>
    </row>
    <row r="21" ht="15.75">
      <c r="K21" s="3"/>
    </row>
    <row r="25" spans="3:8" ht="15">
      <c r="C25" s="2"/>
      <c r="H25" s="2"/>
    </row>
    <row r="26" spans="3:8" ht="15">
      <c r="C26" s="2"/>
      <c r="H26" s="2"/>
    </row>
    <row r="27" spans="3:8" ht="15">
      <c r="C27" s="2"/>
      <c r="H27" s="2"/>
    </row>
    <row r="28" spans="3:8" ht="15">
      <c r="C28" s="2"/>
      <c r="H28" s="2"/>
    </row>
    <row r="30" spans="3:8" ht="15">
      <c r="C30" s="2"/>
      <c r="H30" s="2"/>
    </row>
    <row r="31" spans="3:8" ht="15">
      <c r="C31" s="2"/>
      <c r="H31" s="2"/>
    </row>
    <row r="32" spans="3:8" ht="15">
      <c r="C32" s="2"/>
      <c r="H32" s="2"/>
    </row>
    <row r="33" spans="3:8" ht="15">
      <c r="C33" s="2"/>
      <c r="H33" s="2"/>
    </row>
    <row r="40" spans="3:8" ht="15">
      <c r="C40" s="2"/>
      <c r="H40" s="2"/>
    </row>
    <row r="41" spans="3:8" ht="15">
      <c r="C41" s="2"/>
      <c r="H41" s="2"/>
    </row>
    <row r="42" spans="3:8" ht="15">
      <c r="C42" s="2"/>
      <c r="H42" s="2"/>
    </row>
    <row r="43" spans="3:8" ht="15">
      <c r="C43" s="2"/>
      <c r="H43" s="2"/>
    </row>
    <row r="44" spans="2:7" ht="15.75">
      <c r="B44" s="3"/>
      <c r="F44" s="3"/>
      <c r="G44" s="3"/>
    </row>
    <row r="45" spans="4:7" ht="15.75">
      <c r="D45" s="3"/>
      <c r="G45" s="1"/>
    </row>
  </sheetData>
  <mergeCells count="3">
    <mergeCell ref="B2:G2"/>
    <mergeCell ref="B3:D3"/>
    <mergeCell ref="E3:G3"/>
  </mergeCells>
  <printOptions/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"/>
  <dimension ref="A1:K45"/>
  <sheetViews>
    <sheetView workbookViewId="0" topLeftCell="A1">
      <selection activeCell="G6" sqref="G6"/>
    </sheetView>
  </sheetViews>
  <sheetFormatPr defaultColWidth="9.140625" defaultRowHeight="12.75"/>
  <cols>
    <col min="1" max="1" width="26.28125" style="1" bestFit="1" customWidth="1"/>
    <col min="2" max="2" width="12.28125" style="1" bestFit="1" customWidth="1"/>
    <col min="3" max="3" width="11.28125" style="1" bestFit="1" customWidth="1"/>
    <col min="4" max="4" width="8.57421875" style="1" customWidth="1"/>
    <col min="5" max="5" width="12.28125" style="0" customWidth="1"/>
    <col min="6" max="6" width="11.28125" style="1" bestFit="1" customWidth="1"/>
    <col min="7" max="7" width="10.00390625" style="0" bestFit="1" customWidth="1"/>
    <col min="8" max="14" width="9.140625" style="1" customWidth="1"/>
    <col min="15" max="15" width="10.8515625" style="1" bestFit="1" customWidth="1"/>
    <col min="16" max="16384" width="9.140625" style="1" customWidth="1"/>
  </cols>
  <sheetData>
    <row r="1" spans="1:7" ht="15.75">
      <c r="A1" s="9"/>
      <c r="B1" s="8"/>
      <c r="C1" s="8"/>
      <c r="D1" s="8"/>
      <c r="E1" s="8"/>
      <c r="F1" s="8"/>
      <c r="G1" s="8"/>
    </row>
    <row r="2" spans="1:7" ht="15.75">
      <c r="A2" s="8"/>
      <c r="B2" s="73" t="s">
        <v>110</v>
      </c>
      <c r="C2" s="73"/>
      <c r="D2" s="73"/>
      <c r="E2" s="73"/>
      <c r="F2" s="73"/>
      <c r="G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tr">
        <f>IF(OR('Pronouns Master'!$C$4="quī",'Pronouns Master'!C4="quis"),'Pronouns Master'!C4,"quis")</f>
        <v>quis</v>
      </c>
      <c r="C5" s="8" t="str">
        <f>IF(OR('Pronouns Master'!$C$4="quī",'Pronouns Master'!D4="quis"),'Pronouns Master'!D4,"quis")</f>
        <v>quis</v>
      </c>
      <c r="D5" s="8" t="str">
        <f>IF(OR('Pronouns Master'!$C$4="quī",'Pronouns Master'!E4="quis"),'Pronouns Master'!E4,"quid")</f>
        <v>quid</v>
      </c>
      <c r="E5" s="8" t="s">
        <v>111</v>
      </c>
      <c r="F5" s="8" t="s">
        <v>112</v>
      </c>
      <c r="G5" s="8" t="s">
        <v>157</v>
      </c>
    </row>
    <row r="6" spans="1:7" ht="15.75">
      <c r="A6" s="9" t="s">
        <v>2</v>
      </c>
      <c r="B6" s="8" t="str">
        <f>LEFT($D$5,LEN($D$5)-2)&amp;"em"</f>
        <v>quem</v>
      </c>
      <c r="C6" s="8" t="str">
        <f>LEFT($D$5,LEN($D$5)-2)&amp;"am"</f>
        <v>quam</v>
      </c>
      <c r="D6" s="8" t="str">
        <f>D5</f>
        <v>quid</v>
      </c>
      <c r="E6" s="8" t="str">
        <f>LEFT($D$5,LEN($D$5)-2)&amp;"ōs"</f>
        <v>quōs</v>
      </c>
      <c r="F6" s="8" t="str">
        <f>LEFT($D$5,LEN($D$5)-2)&amp;"ās"</f>
        <v>quās</v>
      </c>
      <c r="G6" s="8" t="str">
        <f>G5</f>
        <v>qua</v>
      </c>
    </row>
    <row r="7" spans="1:7" ht="15.75">
      <c r="A7" s="9" t="s">
        <v>3</v>
      </c>
      <c r="B7" s="8" t="str">
        <f>LEFT($D$5,LEN($D$5)-2)&amp;"ō"</f>
        <v>quō</v>
      </c>
      <c r="C7" s="8" t="str">
        <f>LEFT($D$5,LEN($D$5)-2)&amp;"ā"</f>
        <v>quā</v>
      </c>
      <c r="D7" s="8" t="str">
        <f>LEFT($D$5,LEN($D$5)-2)&amp;"ō"</f>
        <v>quō</v>
      </c>
      <c r="E7" s="8" t="str">
        <f aca="true" t="shared" si="0" ref="E7:G8">LEFT($D$5,LEN($D$5)-2)&amp;"ibus"</f>
        <v>quibus</v>
      </c>
      <c r="F7" s="8" t="str">
        <f t="shared" si="0"/>
        <v>quibus</v>
      </c>
      <c r="G7" s="8" t="str">
        <f t="shared" si="0"/>
        <v>quibus</v>
      </c>
    </row>
    <row r="8" spans="1:7" ht="15.75">
      <c r="A8" s="9" t="s">
        <v>4</v>
      </c>
      <c r="B8" s="8" t="str">
        <f>LEFT($D$5,LEN($D$5)-4)&amp;"cui"</f>
        <v>cui</v>
      </c>
      <c r="C8" s="8" t="str">
        <f>LEFT($D$5,LEN($D$5)-4)&amp;"cui"</f>
        <v>cui</v>
      </c>
      <c r="D8" s="8" t="str">
        <f>LEFT($D$5,LEN($D$5)-4)&amp;"cui"</f>
        <v>cui</v>
      </c>
      <c r="E8" s="8" t="str">
        <f t="shared" si="0"/>
        <v>quibus</v>
      </c>
      <c r="F8" s="8" t="str">
        <f t="shared" si="0"/>
        <v>quibus</v>
      </c>
      <c r="G8" s="8" t="str">
        <f t="shared" si="0"/>
        <v>quibus</v>
      </c>
    </row>
    <row r="9" spans="1:7" ht="15.75">
      <c r="A9" s="9" t="s">
        <v>5</v>
      </c>
      <c r="B9" s="8" t="str">
        <f>LEFT($D$5,LEN($D$5)-4)&amp;"cuius"</f>
        <v>cuius</v>
      </c>
      <c r="C9" s="8" t="str">
        <f>LEFT($D$5,LEN($D$5)-4)&amp;"cuius"</f>
        <v>cuius</v>
      </c>
      <c r="D9" s="8" t="str">
        <f>LEFT($D$5,LEN($D$5)-4)&amp;"cuius"</f>
        <v>cuius</v>
      </c>
      <c r="E9" s="8" t="str">
        <f>LEFT($D$5,LEN($D$5)-2)&amp;"ōrum"</f>
        <v>quōrum</v>
      </c>
      <c r="F9" s="8" t="str">
        <f>LEFT($D$5,LEN($D$5)-2)&amp;"ārum"</f>
        <v>quārum</v>
      </c>
      <c r="G9" s="8" t="str">
        <f>LEFT($D$5,LEN($D$5)-2)&amp;"ōrum"</f>
        <v>quōrum</v>
      </c>
    </row>
    <row r="10" spans="1:7" ht="15">
      <c r="A10" s="2"/>
      <c r="F10" s="2"/>
      <c r="G10" s="1"/>
    </row>
    <row r="11" ht="15">
      <c r="G11" s="1"/>
    </row>
    <row r="12" ht="15.75">
      <c r="B12" s="3"/>
    </row>
    <row r="16" spans="3:8" ht="15">
      <c r="C16" s="2"/>
      <c r="H16" s="2"/>
    </row>
    <row r="18" spans="3:8" ht="15">
      <c r="C18" s="2"/>
      <c r="H18" s="2"/>
    </row>
    <row r="21" ht="15.75">
      <c r="K21" s="3"/>
    </row>
    <row r="25" spans="3:8" ht="15">
      <c r="C25" s="2"/>
      <c r="H25" s="2"/>
    </row>
    <row r="26" spans="3:8" ht="15">
      <c r="C26" s="2"/>
      <c r="H26" s="2"/>
    </row>
    <row r="27" spans="3:8" ht="15">
      <c r="C27" s="2"/>
      <c r="H27" s="2"/>
    </row>
    <row r="28" spans="3:8" ht="15">
      <c r="C28" s="2"/>
      <c r="H28" s="2"/>
    </row>
    <row r="30" spans="3:8" ht="15">
      <c r="C30" s="2"/>
      <c r="H30" s="2"/>
    </row>
    <row r="31" spans="3:8" ht="15">
      <c r="C31" s="2"/>
      <c r="H31" s="2"/>
    </row>
    <row r="32" spans="3:8" ht="15">
      <c r="C32" s="2"/>
      <c r="H32" s="2"/>
    </row>
    <row r="33" spans="3:8" ht="15">
      <c r="C33" s="2"/>
      <c r="H33" s="2"/>
    </row>
    <row r="40" spans="3:8" ht="15">
      <c r="C40" s="2"/>
      <c r="H40" s="2"/>
    </row>
    <row r="41" spans="3:8" ht="15">
      <c r="C41" s="2"/>
      <c r="H41" s="2"/>
    </row>
    <row r="42" spans="3:8" ht="15">
      <c r="C42" s="2"/>
      <c r="H42" s="2"/>
    </row>
    <row r="43" spans="3:8" ht="15">
      <c r="C43" s="2"/>
      <c r="H43" s="2"/>
    </row>
    <row r="44" spans="2:7" ht="15.75">
      <c r="B44" s="3"/>
      <c r="F44" s="3"/>
      <c r="G44" s="3"/>
    </row>
    <row r="45" spans="4:7" ht="15.75">
      <c r="D45" s="3"/>
      <c r="G45" s="1"/>
    </row>
  </sheetData>
  <mergeCells count="3">
    <mergeCell ref="B2:G2"/>
    <mergeCell ref="B3:D3"/>
    <mergeCell ref="E3:G3"/>
  </mergeCells>
  <printOptions/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/>
  <dimension ref="A1:K45"/>
  <sheetViews>
    <sheetView workbookViewId="0" topLeftCell="A1">
      <selection activeCell="F9" sqref="F9"/>
    </sheetView>
  </sheetViews>
  <sheetFormatPr defaultColWidth="9.140625" defaultRowHeight="12.75"/>
  <cols>
    <col min="1" max="1" width="26.28125" style="1" bestFit="1" customWidth="1"/>
    <col min="2" max="3" width="12.421875" style="1" bestFit="1" customWidth="1"/>
    <col min="4" max="4" width="11.57421875" style="1" customWidth="1"/>
    <col min="5" max="5" width="16.28125" style="0" customWidth="1"/>
    <col min="6" max="6" width="16.28125" style="1" bestFit="1" customWidth="1"/>
    <col min="7" max="7" width="16.28125" style="0" bestFit="1" customWidth="1"/>
    <col min="8" max="14" width="9.140625" style="1" customWidth="1"/>
    <col min="15" max="15" width="10.8515625" style="1" bestFit="1" customWidth="1"/>
    <col min="16" max="16384" width="9.140625" style="1" customWidth="1"/>
  </cols>
  <sheetData>
    <row r="1" spans="1:7" ht="15.75">
      <c r="A1" s="9"/>
      <c r="B1" s="8"/>
      <c r="C1" s="8"/>
      <c r="D1" s="8"/>
      <c r="E1" s="8"/>
      <c r="F1" s="8"/>
      <c r="G1" s="8"/>
    </row>
    <row r="2" spans="1:7" ht="15.75">
      <c r="A2" s="8"/>
      <c r="B2" s="73" t="s">
        <v>110</v>
      </c>
      <c r="C2" s="73"/>
      <c r="D2" s="73"/>
      <c r="E2" s="73"/>
      <c r="F2" s="73"/>
      <c r="G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tr">
        <f>'Pronouns Master'!C4</f>
        <v>is</v>
      </c>
      <c r="C5" s="8" t="str">
        <f>'Pronouns Master'!D4</f>
        <v>ea</v>
      </c>
      <c r="D5" s="8" t="str">
        <f>'Pronouns Master'!E4</f>
        <v>id</v>
      </c>
      <c r="E5" s="8" t="str">
        <f>IF(OR($D$5="quidquid",$D$5="quodquod"),'qui &amp; quis'!E5&amp;'qui &amp; quis'!E5,IF(OR($C$5="quisdam",$C$5="quadam",$C$5="quaedam"),LEFT('qui &amp; quis'!E5,LEN('qui &amp; quis'!E5)-1)&amp;"n"&amp;$C$11,IF(OR($B$11="quī",$B$11="quis"),'qui &amp; quis'!E5&amp;$C$11,$B$11&amp;'qui &amp; quis'!E5)))</f>
        <v>isquī</v>
      </c>
      <c r="F5" s="8" t="str">
        <f>IF(OR($D$5="quidquid",$D$5="quodquod"),'qui &amp; quis'!F5&amp;'qui &amp; quis'!F5,IF(OR($C$5="quisdam",$C$5="quadam",$C$5="quaedam"),LEFT('qui &amp; quis'!F5,LEN('qui &amp; quis'!F5)-1)&amp;"n"&amp;$C$11,IF(OR($B$11="quī",$B$11="quis"),'qui &amp; quis'!F5&amp;$C$11,$B$11&amp;'qui &amp; quis'!F5)))</f>
        <v>isquae</v>
      </c>
      <c r="G5" s="8" t="str">
        <f>IF(OR($D$5="quidquid",$D$5="quodquod"),'qui &amp; quis'!G5&amp;'qui &amp; quis'!G5,IF(OR($C$5="quisdam",$C$5="quadam",$C$5="quaedam"),LEFT('qui &amp; quis'!G5,LEN('qui &amp; quis'!G5)-1)&amp;"n"&amp;$C$11,IF(OR($B$11="quī",$B$11="quis"),'qui &amp; quis'!G5&amp;$C$11,$B$11&amp;'qui &amp; quis'!G5)))</f>
        <v>isqua</v>
      </c>
    </row>
    <row r="6" spans="1:7" ht="15.75">
      <c r="A6" s="9" t="s">
        <v>2</v>
      </c>
      <c r="B6" s="8" t="str">
        <f>IF(OR($D$5="quidquid",$D$5="quodquod"),'qui &amp; quis'!B6&amp;'qui &amp; quis'!B6,IF(OR($C$5="quisdam",$C$5="quadam",$C$5="quaedam"),LEFT('qui &amp; quis'!B6,LEN('qui &amp; quis'!B6)-1)&amp;"n"&amp;$C$11,IF(OR($B$11="quī",$B$11="quis"),'qui &amp; quis'!B6&amp;$C$11,$B$11&amp;'qui &amp; quis'!B6)))</f>
        <v>isquem</v>
      </c>
      <c r="C6" s="8" t="str">
        <f>IF(OR($D$5="quidquid",$D$5="quodquod"),'qui &amp; quis'!B6&amp;'qui &amp; quis'!B6,IF(OR($C$5="quisdam",$C$5="quadam",$C$5="quaedam"),LEFT('qui &amp; quis'!C6,LEN('qui &amp; quis'!C6)-1)&amp;"n"&amp;$C$11,IF(OR($B$11="quī",$B$11="quis"),'qui &amp; quis'!C6&amp;$C$11,$B$11&amp;'qui &amp; quis'!C6)))</f>
        <v>isquam</v>
      </c>
      <c r="D6" s="8" t="str">
        <f>D5</f>
        <v>id</v>
      </c>
      <c r="E6" s="8" t="str">
        <f>IF(OR($D$5="quidquid",$D$5="quodquod"),'qui &amp; quis'!E6&amp;'qui &amp; quis'!E6,IF(OR($C$5="quisdam",$C$5="quadam",$C$5="quaedam"),LEFT('qui &amp; quis'!E6,LEN('qui &amp; quis'!E6)-1)&amp;"n"&amp;$C$11,IF(OR($B$11="quī",$B$11="quis"),'qui &amp; quis'!E6&amp;$C$11,$B$11&amp;'qui &amp; quis'!E6)))</f>
        <v>isquōs</v>
      </c>
      <c r="F6" s="8" t="str">
        <f>IF(OR($D$5="quidquid",$D$5="quodquod"),'qui &amp; quis'!F6&amp;'qui &amp; quis'!F6,IF(OR($C$5="quisdam",$C$5="quadam",$C$5="quaedam"),LEFT('qui &amp; quis'!F6,LEN('qui &amp; quis'!F6)-1)&amp;"n"&amp;$C$11,IF(OR($B$11="quī",$B$11="quis"),'qui &amp; quis'!F6&amp;$C$11,$B$11&amp;'qui &amp; quis'!F6)))</f>
        <v>isquās</v>
      </c>
      <c r="G6" s="8" t="str">
        <f>IF(OR($D$5="quidquid",$D$5="quodquod"),'qui &amp; quis'!G6&amp;'qui &amp; quis'!G6,IF(OR($C$5="quisdam",$C$5="quadam",$C$5="quaedam"),LEFT('qui &amp; quis'!G6,LEN('qui &amp; quis'!G6)-1)&amp;"n"&amp;$C$11,IF(OR($B$11="quī",$B$11="quis"),'qui &amp; quis'!G6&amp;$C$11,$B$11&amp;'qui &amp; quis'!G6)))</f>
        <v>isqua</v>
      </c>
    </row>
    <row r="7" spans="1:7" ht="15.75">
      <c r="A7" s="9" t="s">
        <v>3</v>
      </c>
      <c r="B7" s="8" t="str">
        <f>IF(OR($D$5="quidquid",$D$5="quodquod"),'qui &amp; quis'!B7&amp;'qui &amp; quis'!B7,IF(OR($C$5="quisdam",$C$5="quadam",$C$5="quaedam"),LEFT('qui &amp; quis'!B7,LEN('qui &amp; quis'!B7)-1)&amp;"n"&amp;$C$11,IF(OR($B$11="quī",$B$11="quis"),'qui &amp; quis'!B7&amp;$C$11,$B$11&amp;'qui &amp; quis'!B7)))</f>
        <v>isquō</v>
      </c>
      <c r="C7" s="8" t="str">
        <f>IF(OR($D$5="quidquid",$D$5="quodquod"),'qui &amp; quis'!C7&amp;'qui &amp; quis'!C7,IF(OR($C$5="quisdam",$C$5="quadam",$C$5="quaedam"),LEFT('qui &amp; quis'!C7,LEN('qui &amp; quis'!C7)-1)&amp;"n"&amp;$C$11,IF(OR($B$11="quī",$B$11="quis"),'qui &amp; quis'!C7&amp;$C$11,$B$11&amp;'qui &amp; quis'!C7)))</f>
        <v>isquā</v>
      </c>
      <c r="D7" s="8" t="str">
        <f>IF(OR($D$5="quidquid",$D$5="quodquod"),'qui &amp; quis'!D7&amp;'qui &amp; quis'!D7,IF(OR($C$5="quisdam",$C$5="quadam",$C$5="quaedam"),LEFT('qui &amp; quis'!D7,LEN('qui &amp; quis'!D7)-1)&amp;"n"&amp;$C$11,IF(OR($B$11="quī",$B$11="quis"),'qui &amp; quis'!D7&amp;$C$11,$B$11&amp;'qui &amp; quis'!D7)))</f>
        <v>isquō</v>
      </c>
      <c r="E7" s="8" t="str">
        <f>IF(OR($D$5="quidquid",$D$5="quodquod"),'qui &amp; quis'!E7&amp;'qui &amp; quis'!E7,IF(OR($C$5="quisdam",$C$5="quadam",$C$5="quaedam"),LEFT('qui &amp; quis'!E7,LEN('qui &amp; quis'!E7)-1)&amp;"n"&amp;$C$11,IF(OR($B$11="quī",$B$11="quis"),'qui &amp; quis'!E7&amp;$C$11,$B$11&amp;'qui &amp; quis'!E7)))</f>
        <v>isquibus</v>
      </c>
      <c r="F7" s="8" t="str">
        <f>IF(OR($D$5="quidquid",$D$5="quodquod"),'qui &amp; quis'!F7&amp;'qui &amp; quis'!F7,IF(OR($C$5="quisdam",$C$5="quadam",$C$5="quaedam"),LEFT('qui &amp; quis'!F7,LEN('qui &amp; quis'!F7)-1)&amp;"n"&amp;$C$11,IF(OR($B$11="quī",$B$11="quis"),'qui &amp; quis'!F7&amp;$C$11,$B$11&amp;'qui &amp; quis'!F7)))</f>
        <v>isquibus</v>
      </c>
      <c r="G7" s="8" t="str">
        <f>IF(OR($D$5="quidquid",$D$5="quodquod"),'qui &amp; quis'!G7&amp;'qui &amp; quis'!G7,IF(OR($C$5="quisdam",$C$5="quadam",$C$5="quaedam"),LEFT('qui &amp; quis'!G7,LEN('qui &amp; quis'!G7)-1)&amp;"n"&amp;$C$11,IF(OR($B$11="quī",$B$11="quis"),'qui &amp; quis'!G7&amp;$C$11,$B$11&amp;'qui &amp; quis'!G7)))</f>
        <v>isquibus</v>
      </c>
    </row>
    <row r="8" spans="1:7" ht="15.75">
      <c r="A8" s="9" t="s">
        <v>4</v>
      </c>
      <c r="B8" s="8" t="str">
        <f>IF(OR($D$5="quidquid",$D$5="quodquod"),'qui &amp; quis'!B8&amp;'qui &amp; quis'!B8,IF(OR($C$5="quisdam",$C$5="quadam",$C$5="quaedam"),LEFT('qui &amp; quis'!B8,LEN('qui &amp; quis'!B8)-1)&amp;"n"&amp;$C$11,IF(OR($B$11="quī",$B$11="quis"),'qui &amp; quis'!B8&amp;$C$11,$B$11&amp;'qui &amp; quis'!B8)))</f>
        <v>iscui</v>
      </c>
      <c r="C8" s="8" t="str">
        <f>IF(OR($D$5="quidquid",$D$5="quodquod"),'qui &amp; quis'!C8&amp;'qui &amp; quis'!C8,IF(OR($C$5="quisdam",$C$5="quadam",$C$5="quaedam"),LEFT('qui &amp; quis'!C8,LEN('qui &amp; quis'!C8)-1)&amp;"n"&amp;$C$11,IF(OR($B$11="quī",$B$11="quis"),'qui &amp; quis'!C8&amp;$C$11,$B$11&amp;'qui &amp; quis'!C8)))</f>
        <v>iscui</v>
      </c>
      <c r="D8" s="8" t="str">
        <f>IF(OR($D$5="quidquid",$D$5="quodquod"),'qui &amp; quis'!D8&amp;'qui &amp; quis'!D8,IF(OR($C$5="quisdam",$C$5="quadam",$C$5="quaedam"),LEFT('qui &amp; quis'!D8,LEN('qui &amp; quis'!D8)-1)&amp;"n"&amp;$C$11,IF(OR($B$11="quī",$B$11="quis"),'qui &amp; quis'!D8&amp;$C$11,$B$11&amp;'qui &amp; quis'!D8)))</f>
        <v>iscui</v>
      </c>
      <c r="E8" s="8" t="str">
        <f>IF(OR($D$5="quidquid",$D$5="quodquod"),'qui &amp; quis'!E8&amp;'qui &amp; quis'!E8,IF(OR($C$5="quisdam",$C$5="quadam",$C$5="quaedam"),LEFT('qui &amp; quis'!E8,LEN('qui &amp; quis'!E8)-1)&amp;"n"&amp;$C$11,IF(OR($B$11="quī",$B$11="quis"),'qui &amp; quis'!E8&amp;$C$11,$B$11&amp;'qui &amp; quis'!E8)))</f>
        <v>isquibus</v>
      </c>
      <c r="F8" s="8" t="str">
        <f>IF(OR($D$5="quidquid",$D$5="quodquod"),'qui &amp; quis'!F8&amp;'qui &amp; quis'!F8,IF(OR($C$5="quisdam",$C$5="quadam",$C$5="quaedam"),LEFT('qui &amp; quis'!F8,LEN('qui &amp; quis'!F8)-1)&amp;"n"&amp;$C$11,IF(OR($B$11="quī",$B$11="quis"),'qui &amp; quis'!F8&amp;$C$11,$B$11&amp;'qui &amp; quis'!F8)))</f>
        <v>isquibus</v>
      </c>
      <c r="G8" s="8" t="str">
        <f>IF(OR($D$5="quidquid",$D$5="quodquod"),'qui &amp; quis'!G8&amp;'qui &amp; quis'!G8,IF(OR($C$5="quisdam",$C$5="quadam",$C$5="quaedam"),LEFT('qui &amp; quis'!G8,LEN('qui &amp; quis'!G8)-1)&amp;"n"&amp;$C$11,IF(OR($B$11="quī",$B$11="quis"),'qui &amp; quis'!G8&amp;$C$11,$B$11&amp;'qui &amp; quis'!G8)))</f>
        <v>isquibus</v>
      </c>
    </row>
    <row r="9" spans="1:7" ht="15.75">
      <c r="A9" s="9" t="s">
        <v>5</v>
      </c>
      <c r="B9" s="8" t="str">
        <f>IF(OR($D$5="quidquid",$D$5="quodquod"),'qui &amp; quis'!B9&amp;'qui &amp; quis'!B9,IF(OR($C$5="quisdam",$C$5="quadam",$C$5="quaedam"),LEFT('qui &amp; quis'!B9,LEN('qui &amp; quis'!B9)-1)&amp;"n"&amp;$C$11,IF(OR($B$11="quī",$B$11="quis"),'qui &amp; quis'!B9&amp;$C$11,$B$11&amp;'qui &amp; quis'!B9)))</f>
        <v>iscuius</v>
      </c>
      <c r="C9" s="8" t="str">
        <f>IF(OR($D$5="quidquid",$D$5="quodquod"),'qui &amp; quis'!C9&amp;'qui &amp; quis'!C9,IF(OR($C$5="quisdam",$C$5="quadam",$C$5="quaedam"),LEFT('qui &amp; quis'!C9,LEN('qui &amp; quis'!C9)-1)&amp;"n"&amp;$C$11,IF(OR($B$11="quī",$B$11="quis"),'qui &amp; quis'!C9&amp;$C$11,$B$11&amp;'qui &amp; quis'!C9)))</f>
        <v>iscuius</v>
      </c>
      <c r="D9" s="8" t="str">
        <f>IF(OR($D$5="quidquid",$D$5="quodquod"),'qui &amp; quis'!D9&amp;'qui &amp; quis'!D9,IF(OR($C$5="quisdam",$C$5="quadam",$C$5="quaedam"),LEFT('qui &amp; quis'!D9,LEN('qui &amp; quis'!D9)-1)&amp;"n"&amp;$C$11,IF(OR($B$11="quī",$B$11="quis"),'qui &amp; quis'!D9&amp;$C$11,$B$11&amp;'qui &amp; quis'!D9)))</f>
        <v>iscuius</v>
      </c>
      <c r="E9" s="8" t="str">
        <f>IF(OR($D$5="quidquid",$D$5="quodquod"),'qui &amp; quis'!E9&amp;'qui &amp; quis'!E9,IF(OR($C$5="quisdam",$C$5="quadam",$C$5="quaedam"),LEFT('qui &amp; quis'!E9,LEN('qui &amp; quis'!E9)-1)&amp;"n"&amp;$C$11,IF(OR($B$11="quī",$B$11="quis"),'qui &amp; quis'!E9&amp;$C$11,$B$11&amp;'qui &amp; quis'!E9)))</f>
        <v>isquōrum</v>
      </c>
      <c r="F9" s="8" t="str">
        <f>IF(OR($D$5="quidquid",$D$5="quodquod"),'qui &amp; quis'!F9&amp;'qui &amp; quis'!F9,IF(OR($C$5="quisdam",$C$5="quadam",$C$5="quaedam"),LEFT('qui &amp; quis'!F9,LEN('qui &amp; quis'!F9)-1)&amp;"n"&amp;$C$11,IF(OR($B$11="quī",$B$11="quis"),'qui &amp; quis'!F9&amp;$C$11,$B$11&amp;'qui &amp; quis'!F9)))</f>
        <v>isquārum</v>
      </c>
      <c r="G9" s="8" t="str">
        <f>IF(OR($D$5="quidquid",$D$5="quodquod"),'qui &amp; quis'!G9&amp;'qui &amp; quis'!G9,IF(OR($C$5="quisdam",$C$5="quadam",$C$5="quaedam"),LEFT('qui &amp; quis'!G9,LEN('qui &amp; quis'!G9)-1)&amp;"n"&amp;$C$11,IF(OR($B$11="quī",$B$11="quis"),'qui &amp; quis'!G9&amp;$C$11,$B$11&amp;'qui &amp; quis'!G9)))</f>
        <v>isquōrum</v>
      </c>
    </row>
    <row r="10" spans="1:7" ht="15">
      <c r="A10" s="2"/>
      <c r="F10" s="2"/>
      <c r="G10" s="1"/>
    </row>
    <row r="11" spans="2:7" ht="15">
      <c r="B11" s="1" t="str">
        <f>IF(RIGHT($B$5,3)="quī",LEFT($B$5,LEN($B$5)-3),IF(RIGHT($B$5,4)="quis",LEFT($B$5,LEN($B$5)-4),IF(LEFT($B$5,3)="quī",LEFT($B$5,3),LEFT($B$5,4))))</f>
        <v>is</v>
      </c>
      <c r="C11" s="1" t="str">
        <f>IF(LEFT($B$5,3)="quī",RIGHT($B$5,LEN($B$5)-3),IF(LEFT($B$5,4)="quis",RIGHT($B$5,LEN($B$5)-4),IF(RIGHT($B$5,3)="quī",RIGHT($B$5,3),RIGHT($B$5,4))))</f>
        <v>is</v>
      </c>
      <c r="G11" s="1"/>
    </row>
    <row r="12" ht="15.75">
      <c r="B12" s="3"/>
    </row>
    <row r="16" spans="3:8" ht="15">
      <c r="C16" s="2"/>
      <c r="H16" s="2"/>
    </row>
    <row r="18" spans="3:8" ht="15">
      <c r="C18" s="2"/>
      <c r="H18" s="2"/>
    </row>
    <row r="21" ht="15.75">
      <c r="K21" s="3"/>
    </row>
    <row r="25" spans="3:8" ht="15">
      <c r="C25" s="2"/>
      <c r="H25" s="2"/>
    </row>
    <row r="26" spans="3:8" ht="15">
      <c r="C26" s="2"/>
      <c r="H26" s="2"/>
    </row>
    <row r="27" spans="3:8" ht="15">
      <c r="C27" s="2"/>
      <c r="H27" s="2"/>
    </row>
    <row r="28" spans="3:8" ht="15">
      <c r="C28" s="2"/>
      <c r="H28" s="2"/>
    </row>
    <row r="30" spans="3:8" ht="15">
      <c r="C30" s="2"/>
      <c r="H30" s="2"/>
    </row>
    <row r="31" spans="3:8" ht="15">
      <c r="C31" s="2"/>
      <c r="H31" s="2"/>
    </row>
    <row r="32" spans="3:8" ht="15">
      <c r="C32" s="2"/>
      <c r="H32" s="2"/>
    </row>
    <row r="33" spans="3:8" ht="15">
      <c r="C33" s="2"/>
      <c r="H33" s="2"/>
    </row>
    <row r="40" spans="3:8" ht="15">
      <c r="C40" s="2"/>
      <c r="H40" s="2"/>
    </row>
    <row r="41" spans="3:8" ht="15">
      <c r="C41" s="2"/>
      <c r="H41" s="2"/>
    </row>
    <row r="42" spans="3:8" ht="15">
      <c r="C42" s="2"/>
      <c r="H42" s="2"/>
    </row>
    <row r="43" spans="3:8" ht="15">
      <c r="C43" s="2"/>
      <c r="H43" s="2"/>
    </row>
    <row r="44" spans="2:7" ht="15.75">
      <c r="B44" s="3"/>
      <c r="F44" s="3"/>
      <c r="G44" s="3"/>
    </row>
    <row r="45" spans="4:7" ht="15.75">
      <c r="D45" s="3"/>
      <c r="G45" s="1"/>
    </row>
  </sheetData>
  <mergeCells count="3">
    <mergeCell ref="B2:G2"/>
    <mergeCell ref="B3:D3"/>
    <mergeCell ref="E3:G3"/>
  </mergeCells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K45"/>
  <sheetViews>
    <sheetView workbookViewId="0" topLeftCell="A4">
      <selection activeCell="B6" sqref="B6"/>
    </sheetView>
  </sheetViews>
  <sheetFormatPr defaultColWidth="9.140625" defaultRowHeight="12.75"/>
  <cols>
    <col min="1" max="1" width="26.28125" style="1" bestFit="1" customWidth="1"/>
    <col min="2" max="3" width="12.421875" style="1" bestFit="1" customWidth="1"/>
    <col min="4" max="4" width="11.57421875" style="1" customWidth="1"/>
    <col min="5" max="5" width="16.28125" style="0" customWidth="1"/>
    <col min="6" max="6" width="16.28125" style="1" bestFit="1" customWidth="1"/>
    <col min="7" max="7" width="16.28125" style="0" bestFit="1" customWidth="1"/>
    <col min="8" max="14" width="9.140625" style="1" customWidth="1"/>
    <col min="15" max="15" width="10.8515625" style="1" bestFit="1" customWidth="1"/>
    <col min="16" max="16384" width="9.140625" style="1" customWidth="1"/>
  </cols>
  <sheetData>
    <row r="1" spans="1:7" ht="15.75">
      <c r="A1" s="9"/>
      <c r="B1" s="8"/>
      <c r="C1" s="8"/>
      <c r="D1" s="8"/>
      <c r="E1" s="8"/>
      <c r="F1" s="8"/>
      <c r="G1" s="8"/>
    </row>
    <row r="2" spans="1:7" ht="15.75">
      <c r="A2" s="8"/>
      <c r="B2" s="73" t="s">
        <v>110</v>
      </c>
      <c r="C2" s="73"/>
      <c r="D2" s="73"/>
      <c r="E2" s="73"/>
      <c r="F2" s="73"/>
      <c r="G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tr">
        <f>'Adjectives Master'!D4</f>
        <v>sapiēns</v>
      </c>
      <c r="C5" s="8" t="str">
        <f>'Adjectives Master'!E4</f>
        <v>sapiēns</v>
      </c>
      <c r="D5" s="8" t="str">
        <f>'Adjectives Master'!F4</f>
        <v>sapiēns</v>
      </c>
      <c r="E5" s="8" t="str">
        <f>IF(OR($D$5="quidquid",$D$5="quodquod"),'qui &amp; quis'!E5&amp;'qui &amp; quis'!E5,IF(OR($C$5="quisdam",$C$5="quadam",$C$5="quaedam"),LEFT('qui &amp; quis'!E5,LEN('qui &amp; quis'!E5)-1)&amp;"n"&amp;$C$11,IF(OR($B$11="quī",$B$11="quis"),'qui &amp; quis'!E5&amp;$C$11,$B$11&amp;'qui &amp; quis'!E5)))</f>
        <v>sapiquī</v>
      </c>
      <c r="F5" s="8" t="str">
        <f>IF(OR($D$5="quidquid",$D$5="quodquod"),'qui &amp; quis'!F5&amp;'qui &amp; quis'!F5,IF(OR($C$5="quisdam",$C$5="quadam",$C$5="quaedam"),LEFT('qui &amp; quis'!F5,LEN('qui &amp; quis'!F5)-1)&amp;"n"&amp;$C$11,IF(OR($B$11="quī",$B$11="quis"),'qui &amp; quis'!F5&amp;$C$11,$B$11&amp;'qui &amp; quis'!F5)))</f>
        <v>sapiquae</v>
      </c>
      <c r="G5" s="8" t="str">
        <f>IF(OR($D$5="quidquid",$D$5="quodquod"),'qui &amp; quis'!G5&amp;'qui &amp; quis'!G5,IF(OR($C$5="quisdam",$C$5="quadam",$C$5="quaedam"),LEFT('qui &amp; quis'!G5,LEN('qui &amp; quis'!G5)-1)&amp;"n"&amp;$C$11,IF(OR($B$11="quī",$B$11="quis"),'qui &amp; quis'!G5&amp;$C$11,$B$11&amp;'qui &amp; quis'!G5)))</f>
        <v>sapiqua</v>
      </c>
    </row>
    <row r="6" spans="1:7" ht="15.75">
      <c r="A6" s="9" t="s">
        <v>2</v>
      </c>
      <c r="B6" s="8" t="str">
        <f>IF(OR($D$5="quidquid",$D$5="quodquod"),'qui &amp; quis'!B6&amp;'qui &amp; quis'!B6,IF(OR($C$5="quisdam",$C$5="quadam",$C$5="quaedam"),LEFT('qui &amp; quis'!B6,LEN('qui &amp; quis'!B6)-1)&amp;"n"&amp;$C$11,IF(OR($B$11="quī",$B$11="quis"),'qui &amp; quis'!B6&amp;$C$11,$B$11&amp;'qui &amp; quis'!B6)))</f>
        <v>sapiquem</v>
      </c>
      <c r="C6" s="8" t="str">
        <f>IF(OR($D$5="quidquid",$D$5="quodquod"),'qui &amp; quis'!B6&amp;'qui &amp; quis'!B6,IF(OR($C$5="quisdam",$C$5="quadam",$C$5="quaedam"),LEFT('qui &amp; quis'!C6,LEN('qui &amp; quis'!C6)-1)&amp;"n"&amp;$C$11,IF(OR($B$11="quī",$B$11="quis"),'qui &amp; quis'!C6&amp;$C$11,$B$11&amp;'qui &amp; quis'!C6)))</f>
        <v>sapiquam</v>
      </c>
      <c r="D6" s="8" t="str">
        <f>D5</f>
        <v>sapiēns</v>
      </c>
      <c r="E6" s="8" t="str">
        <f>IF(OR($D$5="quidquid",$D$5="quodquod"),'qui &amp; quis'!E6&amp;'qui &amp; quis'!E6,IF(OR($C$5="quisdam",$C$5="quadam",$C$5="quaedam"),LEFT('qui &amp; quis'!E6,LEN('qui &amp; quis'!E6)-1)&amp;"n"&amp;$C$11,IF(OR($B$11="quī",$B$11="quis"),'qui &amp; quis'!E6&amp;$C$11,$B$11&amp;'qui &amp; quis'!E6)))</f>
        <v>sapiquōs</v>
      </c>
      <c r="F6" s="8" t="str">
        <f>IF(OR($D$5="quidquid",$D$5="quodquod"),'qui &amp; quis'!F6&amp;'qui &amp; quis'!F6,IF(OR($C$5="quisdam",$C$5="quadam",$C$5="quaedam"),LEFT('qui &amp; quis'!F6,LEN('qui &amp; quis'!F6)-1)&amp;"n"&amp;$C$11,IF(OR($B$11="quī",$B$11="quis"),'qui &amp; quis'!F6&amp;$C$11,$B$11&amp;'qui &amp; quis'!F6)))</f>
        <v>sapiquās</v>
      </c>
      <c r="G6" s="8" t="str">
        <f>IF(OR($D$5="quidquid",$D$5="quodquod"),'qui &amp; quis'!G6&amp;'qui &amp; quis'!G6,IF(OR($C$5="quisdam",$C$5="quadam",$C$5="quaedam"),LEFT('qui &amp; quis'!G6,LEN('qui &amp; quis'!G6)-1)&amp;"n"&amp;$C$11,IF(OR($B$11="quī",$B$11="quis"),'qui &amp; quis'!G6&amp;$C$11,$B$11&amp;'qui &amp; quis'!G6)))</f>
        <v>sapiqua</v>
      </c>
    </row>
    <row r="7" spans="1:7" ht="15.75">
      <c r="A7" s="9" t="s">
        <v>3</v>
      </c>
      <c r="B7" s="8" t="str">
        <f>IF(OR($D$5="quidquid",$D$5="quodquod"),'qui &amp; quis'!B7&amp;'qui &amp; quis'!B7,IF(OR($C$5="quisdam",$C$5="quadam",$C$5="quaedam"),LEFT('qui &amp; quis'!B7,LEN('qui &amp; quis'!B7)-1)&amp;"n"&amp;$C$11,IF(OR($B$11="quī",$B$11="quis"),'qui &amp; quis'!B7&amp;$C$11,$B$11&amp;'qui &amp; quis'!B7)))</f>
        <v>sapiquō</v>
      </c>
      <c r="C7" s="8" t="str">
        <f>IF(OR($D$5="quidquid",$D$5="quodquod"),'qui &amp; quis'!C7&amp;'qui &amp; quis'!C7,IF(OR($C$5="quisdam",$C$5="quadam",$C$5="quaedam"),LEFT('qui &amp; quis'!C7,LEN('qui &amp; quis'!C7)-1)&amp;"n"&amp;$C$11,IF(OR($B$11="quī",$B$11="quis"),'qui &amp; quis'!C7&amp;$C$11,$B$11&amp;'qui &amp; quis'!C7)))</f>
        <v>sapiquā</v>
      </c>
      <c r="D7" s="8" t="str">
        <f>IF(OR($D$5="quidquid",$D$5="quodquod"),'qui &amp; quis'!D7&amp;'qui &amp; quis'!D7,IF(OR($C$5="quisdam",$C$5="quadam",$C$5="quaedam"),LEFT('qui &amp; quis'!D7,LEN('qui &amp; quis'!D7)-1)&amp;"n"&amp;$C$11,IF(OR($B$11="quī",$B$11="quis"),'qui &amp; quis'!D7&amp;$C$11,$B$11&amp;'qui &amp; quis'!D7)))</f>
        <v>sapiquō</v>
      </c>
      <c r="E7" s="8" t="str">
        <f>IF(OR($D$5="quidquid",$D$5="quodquod"),'qui &amp; quis'!E7&amp;'qui &amp; quis'!E7,IF(OR($C$5="quisdam",$C$5="quadam",$C$5="quaedam"),LEFT('qui &amp; quis'!E7,LEN('qui &amp; quis'!E7)-1)&amp;"n"&amp;$C$11,IF(OR($B$11="quī",$B$11="quis"),'qui &amp; quis'!E7&amp;$C$11,$B$11&amp;'qui &amp; quis'!E7)))</f>
        <v>sapiquibus</v>
      </c>
      <c r="F7" s="8" t="str">
        <f>IF(OR($D$5="quidquid",$D$5="quodquod"),'qui &amp; quis'!F7&amp;'qui &amp; quis'!F7,IF(OR($C$5="quisdam",$C$5="quadam",$C$5="quaedam"),LEFT('qui &amp; quis'!F7,LEN('qui &amp; quis'!F7)-1)&amp;"n"&amp;$C$11,IF(OR($B$11="quī",$B$11="quis"),'qui &amp; quis'!F7&amp;$C$11,$B$11&amp;'qui &amp; quis'!F7)))</f>
        <v>sapiquibus</v>
      </c>
      <c r="G7" s="8" t="str">
        <f>IF(OR($D$5="quidquid",$D$5="quodquod"),'qui &amp; quis'!G7&amp;'qui &amp; quis'!G7,IF(OR($C$5="quisdam",$C$5="quadam",$C$5="quaedam"),LEFT('qui &amp; quis'!G7,LEN('qui &amp; quis'!G7)-1)&amp;"n"&amp;$C$11,IF(OR($B$11="quī",$B$11="quis"),'qui &amp; quis'!G7&amp;$C$11,$B$11&amp;'qui &amp; quis'!G7)))</f>
        <v>sapiquibus</v>
      </c>
    </row>
    <row r="8" spans="1:7" ht="15.75">
      <c r="A8" s="9" t="s">
        <v>4</v>
      </c>
      <c r="B8" s="8" t="str">
        <f>IF(OR($D$5="quidquid",$D$5="quodquod"),'qui &amp; quis'!B8&amp;'qui &amp; quis'!B8,IF(OR($C$5="quisdam",$C$5="quadam",$C$5="quaedam"),LEFT('qui &amp; quis'!B8,LEN('qui &amp; quis'!B8)-1)&amp;"n"&amp;$C$11,IF(OR($B$11="quī",$B$11="quis"),'qui &amp; quis'!B8&amp;$C$11,$B$11&amp;'qui &amp; quis'!B8)))</f>
        <v>sapicui</v>
      </c>
      <c r="C8" s="8" t="str">
        <f>IF(OR($D$5="quidquid",$D$5="quodquod"),'qui &amp; quis'!C8&amp;'qui &amp; quis'!C8,IF(OR($C$5="quisdam",$C$5="quadam",$C$5="quaedam"),LEFT('qui &amp; quis'!C8,LEN('qui &amp; quis'!C8)-1)&amp;"n"&amp;$C$11,IF(OR($B$11="quī",$B$11="quis"),'qui &amp; quis'!C8&amp;$C$11,$B$11&amp;'qui &amp; quis'!C8)))</f>
        <v>sapicui</v>
      </c>
      <c r="D8" s="8" t="str">
        <f>IF(OR($D$5="quidquid",$D$5="quodquod"),'qui &amp; quis'!D8&amp;'qui &amp; quis'!D8,IF(OR($C$5="quisdam",$C$5="quadam",$C$5="quaedam"),LEFT('qui &amp; quis'!D8,LEN('qui &amp; quis'!D8)-1)&amp;"n"&amp;$C$11,IF(OR($B$11="quī",$B$11="quis"),'qui &amp; quis'!D8&amp;$C$11,$B$11&amp;'qui &amp; quis'!D8)))</f>
        <v>sapicui</v>
      </c>
      <c r="E8" s="8" t="str">
        <f>IF(OR($D$5="quidquid",$D$5="quodquod"),'qui &amp; quis'!E8&amp;'qui &amp; quis'!E8,IF(OR($C$5="quisdam",$C$5="quadam",$C$5="quaedam"),LEFT('qui &amp; quis'!E8,LEN('qui &amp; quis'!E8)-1)&amp;"n"&amp;$C$11,IF(OR($B$11="quī",$B$11="quis"),'qui &amp; quis'!E8&amp;$C$11,$B$11&amp;'qui &amp; quis'!E8)))</f>
        <v>sapiquibus</v>
      </c>
      <c r="F8" s="8" t="str">
        <f>IF(OR($D$5="quidquid",$D$5="quodquod"),'qui &amp; quis'!F8&amp;'qui &amp; quis'!F8,IF(OR($C$5="quisdam",$C$5="quadam",$C$5="quaedam"),LEFT('qui &amp; quis'!F8,LEN('qui &amp; quis'!F8)-1)&amp;"n"&amp;$C$11,IF(OR($B$11="quī",$B$11="quis"),'qui &amp; quis'!F8&amp;$C$11,$B$11&amp;'qui &amp; quis'!F8)))</f>
        <v>sapiquibus</v>
      </c>
      <c r="G8" s="8" t="str">
        <f>IF(OR($D$5="quidquid",$D$5="quodquod"),'qui &amp; quis'!G8&amp;'qui &amp; quis'!G8,IF(OR($C$5="quisdam",$C$5="quadam",$C$5="quaedam"),LEFT('qui &amp; quis'!G8,LEN('qui &amp; quis'!G8)-1)&amp;"n"&amp;$C$11,IF(OR($B$11="quī",$B$11="quis"),'qui &amp; quis'!G8&amp;$C$11,$B$11&amp;'qui &amp; quis'!G8)))</f>
        <v>sapiquibus</v>
      </c>
    </row>
    <row r="9" spans="1:7" ht="15.75">
      <c r="A9" s="9" t="s">
        <v>5</v>
      </c>
      <c r="B9" s="8" t="str">
        <f>IF(OR($D$5="quidquid",$D$5="quodquod"),'qui &amp; quis'!B9&amp;'qui &amp; quis'!B9,IF(OR($C$5="quisdam",$C$5="quadam",$C$5="quaedam"),LEFT('qui &amp; quis'!B9,LEN('qui &amp; quis'!B9)-1)&amp;"n"&amp;$C$11,IF(OR($B$11="quī",$B$11="quis"),'qui &amp; quis'!B9&amp;$C$11,$B$11&amp;'qui &amp; quis'!B9)))</f>
        <v>sapicuius</v>
      </c>
      <c r="C9" s="8" t="str">
        <f>IF(OR($D$5="quidquid",$D$5="quodquod"),'qui &amp; quis'!C9&amp;'qui &amp; quis'!C9,IF(OR($C$5="quisdam",$C$5="quadam",$C$5="quaedam"),LEFT('qui &amp; quis'!C9,LEN('qui &amp; quis'!C9)-1)&amp;"n"&amp;$C$11,IF(OR($B$11="quī",$B$11="quis"),'qui &amp; quis'!C9&amp;$C$11,$B$11&amp;'qui &amp; quis'!C9)))</f>
        <v>sapicuius</v>
      </c>
      <c r="D9" s="8" t="str">
        <f>IF(OR($D$5="quidquid",$D$5="quodquod"),'qui &amp; quis'!D9&amp;'qui &amp; quis'!D9,IF(OR($C$5="quisdam",$C$5="quadam",$C$5="quaedam"),LEFT('qui &amp; quis'!D9,LEN('qui &amp; quis'!D9)-1)&amp;"n"&amp;$C$11,IF(OR($B$11="quī",$B$11="quis"),'qui &amp; quis'!D9&amp;$C$11,$B$11&amp;'qui &amp; quis'!D9)))</f>
        <v>sapicuius</v>
      </c>
      <c r="E9" s="8" t="str">
        <f>IF(OR($D$5="quidquid",$D$5="quodquod"),'qui &amp; quis'!E9&amp;'qui &amp; quis'!E9,IF(OR($C$5="quisdam",$C$5="quadam",$C$5="quaedam"),LEFT('qui &amp; quis'!E9,LEN('qui &amp; quis'!E9)-1)&amp;"n"&amp;$C$11,IF(OR($B$11="quī",$B$11="quis"),'qui &amp; quis'!E9&amp;$C$11,$B$11&amp;'qui &amp; quis'!E9)))</f>
        <v>sapiquōrum</v>
      </c>
      <c r="F9" s="8" t="str">
        <f>IF(OR($D$5="quidquid",$D$5="quodquod"),'qui &amp; quis'!F9&amp;'qui &amp; quis'!F9,IF(OR($C$5="quisdam",$C$5="quadam",$C$5="quaedam"),LEFT('qui &amp; quis'!F9,LEN('qui &amp; quis'!F9)-1)&amp;"n"&amp;$C$11,IF(OR($B$11="quī",$B$11="quis"),'qui &amp; quis'!F9&amp;$C$11,$B$11&amp;'qui &amp; quis'!F9)))</f>
        <v>sapiquārum</v>
      </c>
      <c r="G9" s="8" t="str">
        <f>IF(OR($D$5="quidquid",$D$5="quodquod"),'qui &amp; quis'!G9&amp;'qui &amp; quis'!G9,IF(OR($C$5="quisdam",$C$5="quadam",$C$5="quaedam"),LEFT('qui &amp; quis'!G9,LEN('qui &amp; quis'!G9)-1)&amp;"n"&amp;$C$11,IF(OR($B$11="quī",$B$11="quis"),'qui &amp; quis'!G9&amp;$C$11,$B$11&amp;'qui &amp; quis'!G9)))</f>
        <v>sapiquōrum</v>
      </c>
    </row>
    <row r="10" spans="1:7" ht="15">
      <c r="A10" s="2"/>
      <c r="F10" s="2"/>
      <c r="G10" s="1"/>
    </row>
    <row r="11" spans="2:7" ht="15">
      <c r="B11" s="1" t="str">
        <f>IF(RIGHT($B$5,3)="quī",LEFT($B$5,LEN($B$5)-3),IF(RIGHT($B$5,4)="quis",LEFT($B$5,LEN($B$5)-4),IF(LEFT($B$5,3)="quī",LEFT($B$5,3),LEFT($B$5,4))))</f>
        <v>sapi</v>
      </c>
      <c r="C11" s="1" t="str">
        <f>IF(LEFT($B$5,3)="quī",RIGHT($B$5,LEN($B$5)-3),IF(LEFT($B$5,4)="quis",RIGHT($B$5,LEN($B$5)-4),IF(RIGHT($B$5,3)="quī",RIGHT($B$5,3),RIGHT($B$5,4))))</f>
        <v>iēns</v>
      </c>
      <c r="G11" s="1"/>
    </row>
    <row r="12" ht="15.75">
      <c r="B12" s="3"/>
    </row>
    <row r="16" spans="3:8" ht="15">
      <c r="C16" s="2"/>
      <c r="H16" s="2"/>
    </row>
    <row r="18" spans="3:8" ht="15">
      <c r="C18" s="2"/>
      <c r="H18" s="2"/>
    </row>
    <row r="21" ht="15.75">
      <c r="K21" s="3"/>
    </row>
    <row r="25" spans="3:8" ht="15">
      <c r="C25" s="2"/>
      <c r="H25" s="2"/>
    </row>
    <row r="26" spans="3:8" ht="15">
      <c r="C26" s="2"/>
      <c r="H26" s="2"/>
    </row>
    <row r="27" spans="3:8" ht="15">
      <c r="C27" s="2"/>
      <c r="H27" s="2"/>
    </row>
    <row r="28" spans="3:8" ht="15">
      <c r="C28" s="2"/>
      <c r="H28" s="2"/>
    </row>
    <row r="30" spans="3:8" ht="15">
      <c r="C30" s="2"/>
      <c r="H30" s="2"/>
    </row>
    <row r="31" spans="3:8" ht="15">
      <c r="C31" s="2"/>
      <c r="H31" s="2"/>
    </row>
    <row r="32" spans="3:8" ht="15">
      <c r="C32" s="2"/>
      <c r="H32" s="2"/>
    </row>
    <row r="33" spans="3:8" ht="15">
      <c r="C33" s="2"/>
      <c r="H33" s="2"/>
    </row>
    <row r="40" spans="3:8" ht="15">
      <c r="C40" s="2"/>
      <c r="H40" s="2"/>
    </row>
    <row r="41" spans="3:8" ht="15">
      <c r="C41" s="2"/>
      <c r="H41" s="2"/>
    </row>
    <row r="42" spans="3:8" ht="15">
      <c r="C42" s="2"/>
      <c r="H42" s="2"/>
    </row>
    <row r="43" spans="3:8" ht="15">
      <c r="C43" s="2"/>
      <c r="H43" s="2"/>
    </row>
    <row r="44" spans="2:7" ht="15.75">
      <c r="B44" s="3"/>
      <c r="F44" s="3"/>
      <c r="G44" s="3"/>
    </row>
    <row r="45" spans="4:7" ht="15.75">
      <c r="D45" s="3"/>
      <c r="G45" s="1"/>
    </row>
  </sheetData>
  <mergeCells count="3">
    <mergeCell ref="B2:G2"/>
    <mergeCell ref="B3:D3"/>
    <mergeCell ref="E3:G3"/>
  </mergeCells>
  <printOptions/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P45"/>
  <sheetViews>
    <sheetView workbookViewId="0" topLeftCell="A1">
      <selection activeCell="K23" sqref="K23"/>
    </sheetView>
  </sheetViews>
  <sheetFormatPr defaultColWidth="9.140625" defaultRowHeight="12.75"/>
  <cols>
    <col min="1" max="3" width="9.140625" style="1" customWidth="1"/>
    <col min="4" max="4" width="10.8515625" style="1" bestFit="1" customWidth="1"/>
    <col min="6" max="6" width="9.140625" style="1" customWidth="1"/>
    <col min="8" max="14" width="9.140625" style="1" customWidth="1"/>
    <col min="15" max="15" width="10.8515625" style="1" bestFit="1" customWidth="1"/>
    <col min="16" max="16384" width="9.140625" style="1" customWidth="1"/>
  </cols>
  <sheetData>
    <row r="1" spans="1:16" ht="15">
      <c r="A1" s="1" t="s">
        <v>11</v>
      </c>
      <c r="B1" s="1">
        <f>IF(ISNUMBER(FIND(A1,'Nouns Master'!$D$3,1)),1,IF(ISNUMBER(FIND(A1,'Nouns Master'!$D$3,4)),2,IF(ISNUMBER(FIND(A1,'Nouns Master'!$D$3,7)),3,IF(ISNUMBER(FIND(A1,'Nouns Master'!$D$3,10)),4,IF(ISNUMBER(FIND(A1,'Nouns Master'!$D$3,13)),5,IF(ISNUMBER(FIND(A1,'Nouns Master'!$D$3,16)),6,0))))))</f>
        <v>0</v>
      </c>
      <c r="C1" s="1" t="s">
        <v>21</v>
      </c>
      <c r="D1" s="1">
        <f>IF(ISNUMBER(FIND(C1,'Nouns Master'!$D$3,1)),1,IF(ISNUMBER(FIND(C1,'Nouns Master'!$D$3,4)),2,IF(ISNUMBER(FIND(C1,'Nouns Master'!$D$3,7)),3,IF(ISNUMBER(FIND(C1,'Nouns Master'!$D$3,10)),4,IF(ISNUMBER(FIND(C1,'Nouns Master'!$D$3,13)),5,IF(ISNUMBER(FIND(C1,'Nouns Master'!$D$3,16)),6,0))))))</f>
        <v>0</v>
      </c>
      <c r="F1" s="1" t="s">
        <v>11</v>
      </c>
      <c r="G1" s="1">
        <f>IF(ISNUMBER(FIND(F1,'Nouns Master'!$D$7,1)),1,IF(ISNUMBER(FIND(F1,'Nouns Master'!$D$7,4)),2,IF(ISNUMBER(FIND(F1,'Nouns Master'!$D$7,7)),3,IF(ISNUMBER(FIND(F1,'Nouns Master'!$D$7,10)),4,IF(ISNUMBER(FIND(F1,'Nouns Master'!$D$7,13)),5,IF(ISNUMBER(FIND(F1,'Nouns Master'!$D$7,16)),6,0))))))</f>
        <v>0</v>
      </c>
      <c r="H1" s="1" t="s">
        <v>21</v>
      </c>
      <c r="I1" s="1">
        <f>IF(ISNUMBER(FIND(H1,'Nouns Master'!$D$7,1)),1,IF(ISNUMBER(FIND(H1,'Nouns Master'!$D$7,4)),2,IF(ISNUMBER(FIND(H1,'Nouns Master'!$D$7,7)),3,IF(ISNUMBER(FIND(H1,'Nouns Master'!$D$7,10)),4,IF(ISNUMBER(FIND(H1,'Nouns Master'!$D$7,13)),5,IF(ISNUMBER(FIND(H1,'Nouns Master'!$D$7,16)),6,0))))))</f>
        <v>0</v>
      </c>
      <c r="K1" s="1" t="s">
        <v>67</v>
      </c>
      <c r="L1" s="1">
        <f>IF(ISNUMBER(FIND(K1,$O$20,1)),1,0)</f>
        <v>0</v>
      </c>
      <c r="M1" s="1" t="s">
        <v>86</v>
      </c>
      <c r="N1" s="1">
        <f>IF(ISNUMBER(FIND(M1,$O$20,1)),1,0)</f>
        <v>0</v>
      </c>
      <c r="O1" s="1">
        <v>1</v>
      </c>
      <c r="P1" s="1" t="str">
        <f>LEFT('Nouns Master'!$D$7,O1)</f>
        <v>h</v>
      </c>
    </row>
    <row r="2" spans="1:16" ht="15">
      <c r="A2" s="1" t="s">
        <v>12</v>
      </c>
      <c r="B2" s="1">
        <f>IF(ISNUMBER(FIND(A2,'Nouns Master'!$D$3,1)),1,IF(ISNUMBER(FIND(A2,'Nouns Master'!$D$3,4)),2,IF(ISNUMBER(FIND(A2,'Nouns Master'!$D$3,7)),3,IF(ISNUMBER(FIND(A2,'Nouns Master'!$D$3,10)),4,IF(ISNUMBER(FIND(A2,'Nouns Master'!$D$3,13)),5,IF(ISNUMBER(FIND(A2,'Nouns Master'!$D$3,16)),6,0))))))</f>
        <v>0</v>
      </c>
      <c r="C2" s="1" t="s">
        <v>22</v>
      </c>
      <c r="D2" s="1">
        <f>IF(ISNUMBER(FIND(C2,'Nouns Master'!$D$3,1)),1,IF(ISNUMBER(FIND(C2,'Nouns Master'!$D$3,4)),2,IF(ISNUMBER(FIND(C2,'Nouns Master'!$D$3,7)),3,IF(ISNUMBER(FIND(C2,'Nouns Master'!$D$3,10)),4,IF(ISNUMBER(FIND(C2,'Nouns Master'!$D$3,13)),5,IF(ISNUMBER(FIND(C2,'Nouns Master'!$D$3,16)),6,0))))))</f>
        <v>0</v>
      </c>
      <c r="F2" s="1" t="s">
        <v>12</v>
      </c>
      <c r="G2" s="1">
        <f>IF(ISNUMBER(FIND(F2,'Nouns Master'!$D$7,1)),1,IF(ISNUMBER(FIND(F2,'Nouns Master'!$D$7,4)),2,IF(ISNUMBER(FIND(F2,'Nouns Master'!$D$7,7)),3,IF(ISNUMBER(FIND(F2,'Nouns Master'!$D$7,10)),4,IF(ISNUMBER(FIND(F2,'Nouns Master'!$D$7,13)),5,IF(ISNUMBER(FIND(F2,'Nouns Master'!$D$7,16)),6,0))))))</f>
        <v>0</v>
      </c>
      <c r="H2" s="1" t="s">
        <v>22</v>
      </c>
      <c r="I2" s="1">
        <f>IF(ISNUMBER(FIND(H2,'Nouns Master'!$D$7,1)),1,IF(ISNUMBER(FIND(H2,'Nouns Master'!$D$7,4)),2,IF(ISNUMBER(FIND(H2,'Nouns Master'!$D$7,7)),3,IF(ISNUMBER(FIND(H2,'Nouns Master'!$D$7,10)),4,IF(ISNUMBER(FIND(H2,'Nouns Master'!$D$7,13)),5,IF(ISNUMBER(FIND(H2,'Nouns Master'!$D$7,16)),6,0))))))</f>
        <v>0</v>
      </c>
      <c r="K2" s="1" t="s">
        <v>66</v>
      </c>
      <c r="L2" s="1">
        <f aca="true" t="shared" si="0" ref="L2:L20">IF(ISNUMBER(FIND(K2,$O$20,1)),1,0)</f>
        <v>0</v>
      </c>
      <c r="M2" s="1" t="s">
        <v>87</v>
      </c>
      <c r="N2" s="1">
        <f aca="true" t="shared" si="1" ref="N2:N20">IF(ISNUMBER(FIND(M2,$O$20,1)),1,0)</f>
        <v>0</v>
      </c>
      <c r="O2" s="1">
        <v>2</v>
      </c>
      <c r="P2" s="1" t="str">
        <f>RIGHT(LEFT('Nouns Master'!$D$7,O2),LEN(LEFT('Nouns Master'!$D$7,O2))-O1)</f>
        <v>o</v>
      </c>
    </row>
    <row r="3" spans="1:16" ht="15">
      <c r="A3" s="1" t="s">
        <v>13</v>
      </c>
      <c r="B3" s="1">
        <f>IF(ISNUMBER(FIND(A3,'Nouns Master'!$D$3,1)),1,IF(ISNUMBER(FIND(A3,'Nouns Master'!$D$3,4)),2,IF(ISNUMBER(FIND(A3,'Nouns Master'!$D$3,7)),3,IF(ISNUMBER(FIND(A3,'Nouns Master'!$D$3,10)),4,IF(ISNUMBER(FIND(A3,'Nouns Master'!$D$3,13)),5,IF(ISNUMBER(FIND(A3,'Nouns Master'!$D$3,16)),6,0))))))</f>
        <v>0</v>
      </c>
      <c r="C3" s="1" t="s">
        <v>41</v>
      </c>
      <c r="D3" s="1">
        <f>IF(ISNUMBER(FIND(C3,'Nouns Master'!$D$3,1)),1,IF(ISNUMBER(FIND(C3,'Nouns Master'!$D$3,4)),2,IF(ISNUMBER(FIND(C3,'Nouns Master'!$D$3,7)),3,IF(ISNUMBER(FIND(C3,'Nouns Master'!$D$3,10)),4,IF(ISNUMBER(FIND(C3,'Nouns Master'!$D$3,13)),5,IF(ISNUMBER(FIND(C3,'Nouns Master'!$D$3,16)),6,0))))))</f>
        <v>0</v>
      </c>
      <c r="F3" s="1" t="s">
        <v>13</v>
      </c>
      <c r="G3" s="1">
        <f>IF(ISNUMBER(FIND(F3,'Nouns Master'!$D$7,1)),1,IF(ISNUMBER(FIND(F3,'Nouns Master'!$D$7,4)),2,IF(ISNUMBER(FIND(F3,'Nouns Master'!$D$7,7)),3,IF(ISNUMBER(FIND(F3,'Nouns Master'!$D$7,10)),4,IF(ISNUMBER(FIND(F3,'Nouns Master'!$D$7,13)),5,IF(ISNUMBER(FIND(F3,'Nouns Master'!$D$7,16)),6,0))))))</f>
        <v>1</v>
      </c>
      <c r="H3" s="1" t="s">
        <v>41</v>
      </c>
      <c r="I3" s="1">
        <f>IF(ISNUMBER(FIND(H3,'Nouns Master'!$D$7,1)),1,IF(ISNUMBER(FIND(H3,'Nouns Master'!$D$7,4)),2,IF(ISNUMBER(FIND(H3,'Nouns Master'!$D$7,7)),3,IF(ISNUMBER(FIND(H3,'Nouns Master'!$D$7,10)),4,IF(ISNUMBER(FIND(H3,'Nouns Master'!$D$7,13)),5,IF(ISNUMBER(FIND(H3,'Nouns Master'!$D$7,16)),6,0))))))</f>
        <v>0</v>
      </c>
      <c r="K3" s="1" t="s">
        <v>68</v>
      </c>
      <c r="L3" s="1">
        <f t="shared" si="0"/>
        <v>0</v>
      </c>
      <c r="M3" s="1" t="s">
        <v>88</v>
      </c>
      <c r="N3" s="1">
        <f t="shared" si="1"/>
        <v>0</v>
      </c>
      <c r="O3" s="1">
        <v>3</v>
      </c>
      <c r="P3" s="1" t="str">
        <f>RIGHT(LEFT('Nouns Master'!$D$7,O3),LEN(LEFT('Nouns Master'!$D$7,O3))-O2)</f>
        <v>m</v>
      </c>
    </row>
    <row r="4" spans="1:16" ht="15">
      <c r="A4" s="1" t="s">
        <v>14</v>
      </c>
      <c r="B4" s="1">
        <f>IF(ISNUMBER(FIND(A4,'Nouns Master'!$D$3,1)),1,IF(ISNUMBER(FIND(A4,'Nouns Master'!$D$3,4)),2,IF(ISNUMBER(FIND(A4,'Nouns Master'!$D$3,7)),3,IF(ISNUMBER(FIND(A4,'Nouns Master'!$D$3,10)),4,IF(ISNUMBER(FIND(A4,'Nouns Master'!$D$3,13)),5,IF(ISNUMBER(FIND(A4,'Nouns Master'!$D$3,16)),6,0))))))</f>
        <v>1</v>
      </c>
      <c r="C4" s="1" t="s">
        <v>24</v>
      </c>
      <c r="D4" s="1">
        <f>IF(ISNUMBER(FIND(C4,'Nouns Master'!$D$3,1)),1,IF(ISNUMBER(FIND(C4,'Nouns Master'!$D$3,4)),2,IF(ISNUMBER(FIND(C4,'Nouns Master'!$D$3,7)),3,IF(ISNUMBER(FIND(C4,'Nouns Master'!$D$3,10)),4,IF(ISNUMBER(FIND(C4,'Nouns Master'!$D$3,13)),5,IF(ISNUMBER(FIND(C4,'Nouns Master'!$D$3,16)),6,0))))))</f>
        <v>0</v>
      </c>
      <c r="F4" s="1" t="s">
        <v>14</v>
      </c>
      <c r="G4" s="1">
        <f>IF(ISNUMBER(FIND(F4,'Nouns Master'!$D$7,1)),1,IF(ISNUMBER(FIND(F4,'Nouns Master'!$D$7,4)),2,IF(ISNUMBER(FIND(F4,'Nouns Master'!$D$7,7)),3,IF(ISNUMBER(FIND(F4,'Nouns Master'!$D$7,10)),4,IF(ISNUMBER(FIND(F4,'Nouns Master'!$D$7,13)),5,IF(ISNUMBER(FIND(F4,'Nouns Master'!$D$7,16)),6,0))))))</f>
        <v>1</v>
      </c>
      <c r="H4" s="1" t="s">
        <v>24</v>
      </c>
      <c r="I4" s="1">
        <f>IF(ISNUMBER(FIND(H4,'Nouns Master'!$D$7,1)),1,IF(ISNUMBER(FIND(H4,'Nouns Master'!$D$7,4)),2,IF(ISNUMBER(FIND(H4,'Nouns Master'!$D$7,7)),3,IF(ISNUMBER(FIND(H4,'Nouns Master'!$D$7,10)),4,IF(ISNUMBER(FIND(H4,'Nouns Master'!$D$7,13)),5,IF(ISNUMBER(FIND(H4,'Nouns Master'!$D$7,16)),6,0))))))</f>
        <v>0</v>
      </c>
      <c r="K4" s="1" t="s">
        <v>69</v>
      </c>
      <c r="L4" s="1">
        <f t="shared" si="0"/>
        <v>0</v>
      </c>
      <c r="M4" s="1" t="s">
        <v>89</v>
      </c>
      <c r="N4" s="1">
        <f t="shared" si="1"/>
        <v>0</v>
      </c>
      <c r="O4" s="1">
        <v>4</v>
      </c>
      <c r="P4" s="1" t="str">
        <f>RIGHT(LEFT('Nouns Master'!$D$7,O4),LEN(LEFT('Nouns Master'!$D$7,O4))-O3)</f>
        <v>i</v>
      </c>
    </row>
    <row r="5" spans="1:16" ht="15">
      <c r="A5" s="1" t="s">
        <v>15</v>
      </c>
      <c r="B5" s="1">
        <f>IF(ISNUMBER(FIND(A5,'Nouns Master'!$D$3,1)),1,IF(ISNUMBER(FIND(A5,'Nouns Master'!$D$3,4)),2,IF(ISNUMBER(FIND(A5,'Nouns Master'!$D$3,7)),3,IF(ISNUMBER(FIND(A5,'Nouns Master'!$D$3,10)),4,IF(ISNUMBER(FIND(A5,'Nouns Master'!$D$3,13)),5,IF(ISNUMBER(FIND(A5,'Nouns Master'!$D$3,16)),6,0))))))</f>
        <v>0</v>
      </c>
      <c r="C5" s="1" t="s">
        <v>26</v>
      </c>
      <c r="D5" s="1">
        <f>IF(ISNUMBER(FIND(C5,'Nouns Master'!$D$3,1)),1,IF(ISNUMBER(FIND(C5,'Nouns Master'!$D$3,4)),2,IF(ISNUMBER(FIND(C5,'Nouns Master'!$D$3,7)),3,IF(ISNUMBER(FIND(C5,'Nouns Master'!$D$3,10)),4,IF(ISNUMBER(FIND(C5,'Nouns Master'!$D$3,13)),5,IF(ISNUMBER(FIND(C5,'Nouns Master'!$D$3,16)),6,0))))))</f>
        <v>0</v>
      </c>
      <c r="F5" s="1" t="s">
        <v>15</v>
      </c>
      <c r="G5" s="1">
        <f>IF(ISNUMBER(FIND(F5,'Nouns Master'!$D$7,1)),1,IF(ISNUMBER(FIND(F5,'Nouns Master'!$D$7,4)),2,IF(ISNUMBER(FIND(F5,'Nouns Master'!$D$7,7)),3,IF(ISNUMBER(FIND(F5,'Nouns Master'!$D$7,10)),4,IF(ISNUMBER(FIND(F5,'Nouns Master'!$D$7,13)),5,IF(ISNUMBER(FIND(F5,'Nouns Master'!$D$7,16)),6,0))))))</f>
        <v>0</v>
      </c>
      <c r="H5" s="1" t="s">
        <v>26</v>
      </c>
      <c r="I5" s="1">
        <f>IF(ISNUMBER(FIND(H5,'Nouns Master'!$D$7,1)),1,IF(ISNUMBER(FIND(H5,'Nouns Master'!$D$7,4)),2,IF(ISNUMBER(FIND(H5,'Nouns Master'!$D$7,7)),3,IF(ISNUMBER(FIND(H5,'Nouns Master'!$D$7,10)),4,IF(ISNUMBER(FIND(H5,'Nouns Master'!$D$7,13)),5,IF(ISNUMBER(FIND(H5,'Nouns Master'!$D$7,16)),6,0))))))</f>
        <v>0</v>
      </c>
      <c r="K5" s="1" t="s">
        <v>70</v>
      </c>
      <c r="L5" s="1">
        <f t="shared" si="0"/>
        <v>0</v>
      </c>
      <c r="M5" s="1" t="s">
        <v>90</v>
      </c>
      <c r="N5" s="1">
        <f t="shared" si="1"/>
        <v>0</v>
      </c>
      <c r="O5" s="1">
        <v>5</v>
      </c>
      <c r="P5" s="1" t="str">
        <f>RIGHT(LEFT('Nouns Master'!$D$7,O5),LEN(LEFT('Nouns Master'!$D$7,O5))-O4)</f>
        <v>n</v>
      </c>
    </row>
    <row r="6" spans="1:16" ht="15">
      <c r="A6" s="2" t="s">
        <v>16</v>
      </c>
      <c r="B6" s="1">
        <f>IF(ISNUMBER(FIND(A6,'Nouns Master'!$D$3,1)),1,IF(ISNUMBER(FIND(A6,'Nouns Master'!$D$3,4)),2,IF(ISNUMBER(FIND(A6,'Nouns Master'!$D$3,7)),3,IF(ISNUMBER(FIND(A6,'Nouns Master'!$D$3,10)),4,IF(ISNUMBER(FIND(A6,'Nouns Master'!$D$3,13)),5,IF(ISNUMBER(FIND(A6,'Nouns Master'!$D$3,16)),6,0))))))</f>
        <v>0</v>
      </c>
      <c r="C6" s="1" t="s">
        <v>27</v>
      </c>
      <c r="D6" s="1">
        <f>IF(ISNUMBER(FIND(C6,'Nouns Master'!$D$3,1)),1,IF(ISNUMBER(FIND(C6,'Nouns Master'!$D$3,4)),2,IF(ISNUMBER(FIND(C6,'Nouns Master'!$D$3,7)),3,IF(ISNUMBER(FIND(C6,'Nouns Master'!$D$3,10)),4,IF(ISNUMBER(FIND(C6,'Nouns Master'!$D$3,13)),5,IF(ISNUMBER(FIND(C6,'Nouns Master'!$D$3,16)),6,0))))))</f>
        <v>0</v>
      </c>
      <c r="F6" s="2" t="s">
        <v>16</v>
      </c>
      <c r="G6" s="1">
        <f>IF(ISNUMBER(FIND(F6,'Nouns Master'!$D$7,1)),1,IF(ISNUMBER(FIND(F6,'Nouns Master'!$D$7,4)),2,IF(ISNUMBER(FIND(F6,'Nouns Master'!$D$7,7)),3,IF(ISNUMBER(FIND(F6,'Nouns Master'!$D$7,10)),4,IF(ISNUMBER(FIND(F6,'Nouns Master'!$D$7,13)),5,IF(ISNUMBER(FIND(F6,'Nouns Master'!$D$7,16)),6,0))))))</f>
        <v>0</v>
      </c>
      <c r="H6" s="1" t="s">
        <v>27</v>
      </c>
      <c r="I6" s="1">
        <f>IF(ISNUMBER(FIND(H6,'Nouns Master'!$D$7,1)),1,IF(ISNUMBER(FIND(H6,'Nouns Master'!$D$7,4)),2,IF(ISNUMBER(FIND(H6,'Nouns Master'!$D$7,7)),3,IF(ISNUMBER(FIND(H6,'Nouns Master'!$D$7,10)),4,IF(ISNUMBER(FIND(H6,'Nouns Master'!$D$7,13)),5,IF(ISNUMBER(FIND(H6,'Nouns Master'!$D$7,16)),6,0))))))</f>
        <v>0</v>
      </c>
      <c r="K6" s="1" t="s">
        <v>71</v>
      </c>
      <c r="L6" s="1">
        <f t="shared" si="0"/>
        <v>0</v>
      </c>
      <c r="M6" s="1" t="s">
        <v>91</v>
      </c>
      <c r="N6" s="1">
        <f t="shared" si="1"/>
        <v>0</v>
      </c>
      <c r="O6" s="1">
        <v>6</v>
      </c>
      <c r="P6" s="1" t="str">
        <f>RIGHT(LEFT('Nouns Master'!$D$7,O6),LEN(LEFT('Nouns Master'!$D$7,O6))-O5)</f>
        <v>i</v>
      </c>
    </row>
    <row r="7" spans="1:16" ht="15">
      <c r="A7" s="2" t="s">
        <v>17</v>
      </c>
      <c r="B7" s="1">
        <f>IF(ISNUMBER(FIND(A7,'Nouns Master'!$D$3,1)),1,IF(ISNUMBER(FIND(A7,'Nouns Master'!$D$3,4)),2,IF(ISNUMBER(FIND(A7,'Nouns Master'!$D$3,7)),3,IF(ISNUMBER(FIND(A7,'Nouns Master'!$D$3,10)),4,IF(ISNUMBER(FIND(A7,'Nouns Master'!$D$3,13)),5,IF(ISNUMBER(FIND(A7,'Nouns Master'!$D$3,16)),6,0))))))</f>
        <v>0</v>
      </c>
      <c r="C7" s="1" t="s">
        <v>23</v>
      </c>
      <c r="D7" s="1">
        <f>IF(ISNUMBER(FIND(C7,'Nouns Master'!$D$3,1)),1,IF(ISNUMBER(FIND(C7,'Nouns Master'!$D$3,4)),2,IF(ISNUMBER(FIND(C7,'Nouns Master'!$D$3,7)),3,IF(ISNUMBER(FIND(C7,'Nouns Master'!$D$3,10)),4,IF(ISNUMBER(FIND(C7,'Nouns Master'!$D$3,13)),5,IF(ISNUMBER(FIND(C7,'Nouns Master'!$D$3,16)),6,0))))))</f>
        <v>0</v>
      </c>
      <c r="F7" s="2" t="s">
        <v>17</v>
      </c>
      <c r="G7" s="1">
        <f>IF(ISNUMBER(FIND(F7,'Nouns Master'!$D$7,1)),1,IF(ISNUMBER(FIND(F7,'Nouns Master'!$D$7,4)),2,IF(ISNUMBER(FIND(F7,'Nouns Master'!$D$7,7)),3,IF(ISNUMBER(FIND(F7,'Nouns Master'!$D$7,10)),4,IF(ISNUMBER(FIND(F7,'Nouns Master'!$D$7,13)),5,IF(ISNUMBER(FIND(F7,'Nouns Master'!$D$7,16)),6,0))))))</f>
        <v>0</v>
      </c>
      <c r="H7" s="1" t="s">
        <v>23</v>
      </c>
      <c r="I7" s="1">
        <f>IF(ISNUMBER(FIND(H7,'Nouns Master'!$D$7,1)),1,IF(ISNUMBER(FIND(H7,'Nouns Master'!$D$7,4)),2,IF(ISNUMBER(FIND(H7,'Nouns Master'!$D$7,7)),3,IF(ISNUMBER(FIND(H7,'Nouns Master'!$D$7,10)),4,IF(ISNUMBER(FIND(H7,'Nouns Master'!$D$7,13)),5,IF(ISNUMBER(FIND(H7,'Nouns Master'!$D$7,16)),6,0))))))</f>
        <v>0</v>
      </c>
      <c r="K7" s="1" t="s">
        <v>72</v>
      </c>
      <c r="L7" s="1">
        <f t="shared" si="0"/>
        <v>0</v>
      </c>
      <c r="M7" s="1" t="s">
        <v>92</v>
      </c>
      <c r="N7" s="1">
        <f t="shared" si="1"/>
        <v>0</v>
      </c>
      <c r="O7" s="1">
        <v>7</v>
      </c>
      <c r="P7" s="1" t="str">
        <f>RIGHT(LEFT('Nouns Master'!$D$7,O7),LEN(LEFT('Nouns Master'!$D$7,O7))-O6)</f>
        <v>s</v>
      </c>
    </row>
    <row r="8" spans="1:16" ht="15">
      <c r="A8" s="2" t="s">
        <v>18</v>
      </c>
      <c r="B8" s="1">
        <f>IF(ISNUMBER(FIND(A8,'Nouns Master'!$D$3,1)),1,IF(ISNUMBER(FIND(A8,'Nouns Master'!$D$3,4)),2,IF(ISNUMBER(FIND(A8,'Nouns Master'!$D$3,7)),3,IF(ISNUMBER(FIND(A8,'Nouns Master'!$D$3,10)),4,IF(ISNUMBER(FIND(A8,'Nouns Master'!$D$3,13)),5,IF(ISNUMBER(FIND(A8,'Nouns Master'!$D$3,16)),6,0))))))</f>
        <v>0</v>
      </c>
      <c r="C8" s="1" t="s">
        <v>25</v>
      </c>
      <c r="D8" s="1">
        <f>IF(ISNUMBER(FIND(C8,'Nouns Master'!$D$3,1)),1,IF(ISNUMBER(FIND(C8,'Nouns Master'!$D$3,4)),2,IF(ISNUMBER(FIND(C8,'Nouns Master'!$D$3,7)),3,IF(ISNUMBER(FIND(C8,'Nouns Master'!$D$3,10)),4,IF(ISNUMBER(FIND(C8,'Nouns Master'!$D$3,13)),5,IF(ISNUMBER(FIND(C8,'Nouns Master'!$D$3,16)),6,0))))))</f>
        <v>0</v>
      </c>
      <c r="F8" s="2" t="s">
        <v>18</v>
      </c>
      <c r="G8" s="1">
        <f>IF(ISNUMBER(FIND(F8,'Nouns Master'!$D$7,1)),1,IF(ISNUMBER(FIND(F8,'Nouns Master'!$D$7,4)),2,IF(ISNUMBER(FIND(F8,'Nouns Master'!$D$7,7)),3,IF(ISNUMBER(FIND(F8,'Nouns Master'!$D$7,10)),4,IF(ISNUMBER(FIND(F8,'Nouns Master'!$D$7,13)),5,IF(ISNUMBER(FIND(F8,'Nouns Master'!$D$7,16)),6,0))))))</f>
        <v>0</v>
      </c>
      <c r="H8" s="1" t="s">
        <v>25</v>
      </c>
      <c r="I8" s="1">
        <f>IF(ISNUMBER(FIND(H8,'Nouns Master'!$D$7,1)),1,IF(ISNUMBER(FIND(H8,'Nouns Master'!$D$7,4)),2,IF(ISNUMBER(FIND(H8,'Nouns Master'!$D$7,7)),3,IF(ISNUMBER(FIND(H8,'Nouns Master'!$D$7,10)),4,IF(ISNUMBER(FIND(H8,'Nouns Master'!$D$7,13)),5,IF(ISNUMBER(FIND(H8,'Nouns Master'!$D$7,16)),6,0))))))</f>
        <v>0</v>
      </c>
      <c r="K8" s="1" t="s">
        <v>73</v>
      </c>
      <c r="L8" s="1">
        <f t="shared" si="0"/>
        <v>0</v>
      </c>
      <c r="M8" s="1" t="s">
        <v>93</v>
      </c>
      <c r="N8" s="1">
        <f t="shared" si="1"/>
        <v>0</v>
      </c>
      <c r="O8" s="1">
        <v>8</v>
      </c>
      <c r="P8" s="1">
        <f>RIGHT(LEFT('Nouns Master'!$D$7,O8),LEN(LEFT('Nouns Master'!$D$7,O8))-O7)</f>
      </c>
    </row>
    <row r="9" spans="1:16" ht="15">
      <c r="A9" s="2" t="s">
        <v>19</v>
      </c>
      <c r="B9" s="1">
        <f>IF(ISNUMBER(FIND(A9,'Nouns Master'!$D$3,1)),1,IF(ISNUMBER(FIND(A9,'Nouns Master'!$D$3,4)),2,IF(ISNUMBER(FIND(A9,'Nouns Master'!$D$3,7)),3,IF(ISNUMBER(FIND(A9,'Nouns Master'!$D$3,10)),4,IF(ISNUMBER(FIND(A9,'Nouns Master'!$D$3,13)),5,IF(ISNUMBER(FIND(A9,'Nouns Master'!$D$3,16)),6,0))))))</f>
        <v>1</v>
      </c>
      <c r="C9" s="1" t="s">
        <v>28</v>
      </c>
      <c r="D9" s="1">
        <f>IF(ISNUMBER(FIND(C9,'Nouns Master'!$D$3,1)),1,IF(ISNUMBER(FIND(C9,'Nouns Master'!$D$3,4)),2,IF(ISNUMBER(FIND(C9,'Nouns Master'!$D$3,7)),3,IF(ISNUMBER(FIND(C9,'Nouns Master'!$D$3,10)),4,IF(ISNUMBER(FIND(C9,'Nouns Master'!$D$3,13)),5,IF(ISNUMBER(FIND(C9,'Nouns Master'!$D$3,16)),6,0))))))</f>
        <v>0</v>
      </c>
      <c r="F9" s="2" t="s">
        <v>19</v>
      </c>
      <c r="G9" s="1">
        <f>IF(ISNUMBER(FIND(F9,'Nouns Master'!$D$7,1)),1,IF(ISNUMBER(FIND(F9,'Nouns Master'!$D$7,4)),2,IF(ISNUMBER(FIND(F9,'Nouns Master'!$D$7,7)),3,IF(ISNUMBER(FIND(F9,'Nouns Master'!$D$7,10)),4,IF(ISNUMBER(FIND(F9,'Nouns Master'!$D$7,13)),5,IF(ISNUMBER(FIND(F9,'Nouns Master'!$D$7,16)),6,0))))))</f>
        <v>0</v>
      </c>
      <c r="H9" s="1" t="s">
        <v>28</v>
      </c>
      <c r="I9" s="1">
        <f>IF(ISNUMBER(FIND(H9,'Nouns Master'!$D$7,1)),1,IF(ISNUMBER(FIND(H9,'Nouns Master'!$D$7,4)),2,IF(ISNUMBER(FIND(H9,'Nouns Master'!$D$7,7)),3,IF(ISNUMBER(FIND(H9,'Nouns Master'!$D$7,10)),4,IF(ISNUMBER(FIND(H9,'Nouns Master'!$D$7,13)),5,IF(ISNUMBER(FIND(H9,'Nouns Master'!$D$7,16)),6,0))))))</f>
        <v>0</v>
      </c>
      <c r="K9" s="1" t="s">
        <v>74</v>
      </c>
      <c r="L9" s="1">
        <f t="shared" si="0"/>
        <v>0</v>
      </c>
      <c r="M9" s="1" t="s">
        <v>94</v>
      </c>
      <c r="N9" s="1">
        <f t="shared" si="1"/>
        <v>0</v>
      </c>
      <c r="O9" s="1">
        <v>9</v>
      </c>
      <c r="P9" s="1" t="e">
        <f>RIGHT(LEFT('Nouns Master'!$D$7,O9),LEN(LEFT('Nouns Master'!$D$7,O9))-O8)</f>
        <v>#VALUE!</v>
      </c>
    </row>
    <row r="10" spans="1:16" ht="15">
      <c r="A10" s="2" t="s">
        <v>20</v>
      </c>
      <c r="B10" s="1">
        <f>IF(ISNUMBER(FIND(A10,'Nouns Master'!$D$3,1)),1,IF(ISNUMBER(FIND(A10,'Nouns Master'!$D$3,4)),2,IF(ISNUMBER(FIND(A10,'Nouns Master'!$D$3,7)),3,IF(ISNUMBER(FIND(A10,'Nouns Master'!$D$3,10)),4,IF(ISNUMBER(FIND(A10,'Nouns Master'!$D$3,13)),5,IF(ISNUMBER(FIND(A10,'Nouns Master'!$D$3,16)),6,0))))))</f>
        <v>0</v>
      </c>
      <c r="C10" s="1" t="s">
        <v>29</v>
      </c>
      <c r="D10" s="1">
        <f>IF(ISNUMBER(FIND(C10,'Nouns Master'!$D$3,1)),1,IF(ISNUMBER(FIND(C10,'Nouns Master'!$D$3,4)),2,IF(ISNUMBER(FIND(C10,'Nouns Master'!$D$3,7)),3,IF(ISNUMBER(FIND(C10,'Nouns Master'!$D$3,10)),4,IF(ISNUMBER(FIND(C10,'Nouns Master'!$D$3,13)),5,IF(ISNUMBER(FIND(C10,'Nouns Master'!$D$3,16)),6,0))))))</f>
        <v>0</v>
      </c>
      <c r="F10" s="2" t="s">
        <v>20</v>
      </c>
      <c r="G10" s="1">
        <f>IF(ISNUMBER(FIND(F10,'Nouns Master'!$D$7,1)),1,IF(ISNUMBER(FIND(F10,'Nouns Master'!$D$7,4)),2,IF(ISNUMBER(FIND(F10,'Nouns Master'!$D$7,7)),3,IF(ISNUMBER(FIND(F10,'Nouns Master'!$D$7,10)),4,IF(ISNUMBER(FIND(F10,'Nouns Master'!$D$7,13)),5,IF(ISNUMBER(FIND(F10,'Nouns Master'!$D$7,16)),6,0))))))</f>
        <v>0</v>
      </c>
      <c r="H10" s="1" t="s">
        <v>29</v>
      </c>
      <c r="I10" s="1">
        <f>IF(ISNUMBER(FIND(H10,'Nouns Master'!$D$7,1)),1,IF(ISNUMBER(FIND(H10,'Nouns Master'!$D$7,4)),2,IF(ISNUMBER(FIND(H10,'Nouns Master'!$D$7,7)),3,IF(ISNUMBER(FIND(H10,'Nouns Master'!$D$7,10)),4,IF(ISNUMBER(FIND(H10,'Nouns Master'!$D$7,13)),5,IF(ISNUMBER(FIND(H10,'Nouns Master'!$D$7,16)),6,0))))))</f>
        <v>0</v>
      </c>
      <c r="K10" s="1" t="s">
        <v>75</v>
      </c>
      <c r="L10" s="1">
        <f t="shared" si="0"/>
        <v>1</v>
      </c>
      <c r="M10" s="1" t="s">
        <v>95</v>
      </c>
      <c r="N10" s="1">
        <f t="shared" si="1"/>
        <v>0</v>
      </c>
      <c r="O10" s="1">
        <v>10</v>
      </c>
      <c r="P10" s="1" t="e">
        <f>RIGHT(LEFT('Nouns Master'!$D$7,O10),LEN(LEFT('Nouns Master'!$D$7,O10))-O9)</f>
        <v>#VALUE!</v>
      </c>
    </row>
    <row r="11" spans="2:16" ht="15">
      <c r="B11" s="1">
        <f>SUM(B1:B10)</f>
        <v>2</v>
      </c>
      <c r="C11" s="1" t="s">
        <v>30</v>
      </c>
      <c r="D11" s="1">
        <f>IF(ISNUMBER(FIND(C11,'Nouns Master'!$D$3,1)),1,IF(ISNUMBER(FIND(C11,'Nouns Master'!$D$3,4)),2,IF(ISNUMBER(FIND(C11,'Nouns Master'!$D$3,7)),3,IF(ISNUMBER(FIND(C11,'Nouns Master'!$D$3,10)),4,IF(ISNUMBER(FIND(C11,'Nouns Master'!$D$3,13)),5,IF(ISNUMBER(FIND(C11,'Nouns Master'!$D$3,16)),6,0))))))</f>
        <v>0</v>
      </c>
      <c r="G11" s="1">
        <f>SUM(G1:G10)</f>
        <v>2</v>
      </c>
      <c r="H11" s="1" t="s">
        <v>30</v>
      </c>
      <c r="I11" s="1">
        <f>IF(ISNUMBER(FIND(H11,'Nouns Master'!$D$7,1)),1,IF(ISNUMBER(FIND(H11,'Nouns Master'!$D$7,4)),2,IF(ISNUMBER(FIND(H11,'Nouns Master'!$D$7,7)),3,IF(ISNUMBER(FIND(H11,'Nouns Master'!$D$7,10)),4,IF(ISNUMBER(FIND(H11,'Nouns Master'!$D$7,13)),5,IF(ISNUMBER(FIND(H11,'Nouns Master'!$D$7,16)),6,0))))))</f>
        <v>0</v>
      </c>
      <c r="K11" s="1" t="s">
        <v>76</v>
      </c>
      <c r="L11" s="1">
        <f t="shared" si="0"/>
        <v>1</v>
      </c>
      <c r="M11" s="1" t="s">
        <v>96</v>
      </c>
      <c r="N11" s="1">
        <f t="shared" si="1"/>
        <v>0</v>
      </c>
      <c r="O11" s="1">
        <v>11</v>
      </c>
      <c r="P11" s="1" t="e">
        <f>RIGHT(LEFT('Nouns Master'!$D$7,O11),LEN(LEFT('Nouns Master'!$D$7,O11))-O10)</f>
        <v>#VALUE!</v>
      </c>
    </row>
    <row r="12" spans="2:16" ht="15.75">
      <c r="B12" s="3"/>
      <c r="C12" s="1" t="s">
        <v>31</v>
      </c>
      <c r="D12" s="1">
        <f>IF(ISNUMBER(FIND(C12,'Nouns Master'!$D$3,1)),1,IF(ISNUMBER(FIND(C12,'Nouns Master'!$D$3,4)),2,IF(ISNUMBER(FIND(C12,'Nouns Master'!$D$3,7)),3,IF(ISNUMBER(FIND(C12,'Nouns Master'!$D$3,10)),4,IF(ISNUMBER(FIND(C12,'Nouns Master'!$D$3,13)),5,IF(ISNUMBER(FIND(C12,'Nouns Master'!$D$3,16)),6,0))))))</f>
        <v>0</v>
      </c>
      <c r="H12" s="1" t="s">
        <v>31</v>
      </c>
      <c r="I12" s="1">
        <f>IF(ISNUMBER(FIND(H12,'Nouns Master'!$D$7,1)),1,IF(ISNUMBER(FIND(H12,'Nouns Master'!$D$7,4)),2,IF(ISNUMBER(FIND(H12,'Nouns Master'!$D$7,7)),3,IF(ISNUMBER(FIND(H12,'Nouns Master'!$D$7,10)),4,IF(ISNUMBER(FIND(H12,'Nouns Master'!$D$7,13)),5,IF(ISNUMBER(FIND(H12,'Nouns Master'!$D$7,16)),6,0))))))</f>
        <v>0</v>
      </c>
      <c r="K12" s="1" t="s">
        <v>77</v>
      </c>
      <c r="L12" s="1">
        <f t="shared" si="0"/>
        <v>0</v>
      </c>
      <c r="M12" s="1" t="s">
        <v>97</v>
      </c>
      <c r="N12" s="1">
        <f t="shared" si="1"/>
        <v>0</v>
      </c>
      <c r="O12" s="1">
        <v>12</v>
      </c>
      <c r="P12" s="1" t="e">
        <f>RIGHT(LEFT('Nouns Master'!$D$7,O12),LEN(LEFT('Nouns Master'!$D$7,O12))-O11)</f>
        <v>#VALUE!</v>
      </c>
    </row>
    <row r="13" spans="3:16" ht="15">
      <c r="C13" s="1" t="s">
        <v>32</v>
      </c>
      <c r="D13" s="1">
        <f>IF(ISNUMBER(FIND(C13,'Nouns Master'!$D$3,1)),1,IF(ISNUMBER(FIND(C13,'Nouns Master'!$D$3,4)),2,IF(ISNUMBER(FIND(C13,'Nouns Master'!$D$3,7)),3,IF(ISNUMBER(FIND(C13,'Nouns Master'!$D$3,10)),4,IF(ISNUMBER(FIND(C13,'Nouns Master'!$D$3,13)),5,IF(ISNUMBER(FIND(C13,'Nouns Master'!$D$3,16)),6,0))))))</f>
        <v>0</v>
      </c>
      <c r="H13" s="1" t="s">
        <v>32</v>
      </c>
      <c r="I13" s="1">
        <f>IF(ISNUMBER(FIND(H13,'Nouns Master'!$D$7,1)),1,IF(ISNUMBER(FIND(H13,'Nouns Master'!$D$7,4)),2,IF(ISNUMBER(FIND(H13,'Nouns Master'!$D$7,7)),3,IF(ISNUMBER(FIND(H13,'Nouns Master'!$D$7,10)),4,IF(ISNUMBER(FIND(H13,'Nouns Master'!$D$7,13)),5,IF(ISNUMBER(FIND(H13,'Nouns Master'!$D$7,16)),6,0))))))</f>
        <v>0</v>
      </c>
      <c r="K13" s="1" t="s">
        <v>78</v>
      </c>
      <c r="L13" s="1">
        <f t="shared" si="0"/>
        <v>0</v>
      </c>
      <c r="M13" s="1" t="s">
        <v>98</v>
      </c>
      <c r="N13" s="1">
        <f t="shared" si="1"/>
        <v>0</v>
      </c>
      <c r="O13" s="1">
        <v>13</v>
      </c>
      <c r="P13" s="1" t="e">
        <f>RIGHT(LEFT('Nouns Master'!$D$7,O13),LEN(LEFT('Nouns Master'!$D$7,O13))-O12)</f>
        <v>#VALUE!</v>
      </c>
    </row>
    <row r="14" spans="3:16" ht="15">
      <c r="C14" s="1" t="s">
        <v>42</v>
      </c>
      <c r="D14" s="1">
        <f>IF(ISNUMBER(FIND(C14,'Nouns Master'!$D$3,1)),1,IF(ISNUMBER(FIND(C14,'Nouns Master'!$D$3,4)),2,IF(ISNUMBER(FIND(C14,'Nouns Master'!$D$3,7)),3,IF(ISNUMBER(FIND(C14,'Nouns Master'!$D$3,10)),4,IF(ISNUMBER(FIND(C14,'Nouns Master'!$D$3,13)),5,IF(ISNUMBER(FIND(C14,'Nouns Master'!$D$3,16)),6,0))))))</f>
        <v>0</v>
      </c>
      <c r="H14" s="1" t="s">
        <v>42</v>
      </c>
      <c r="I14" s="1">
        <f>IF(ISNUMBER(FIND(H14,'Nouns Master'!$D$7,1)),1,IF(ISNUMBER(FIND(H14,'Nouns Master'!$D$7,4)),2,IF(ISNUMBER(FIND(H14,'Nouns Master'!$D$7,7)),3,IF(ISNUMBER(FIND(H14,'Nouns Master'!$D$7,10)),4,IF(ISNUMBER(FIND(H14,'Nouns Master'!$D$7,13)),5,IF(ISNUMBER(FIND(H14,'Nouns Master'!$D$7,16)),6,0))))))</f>
        <v>0</v>
      </c>
      <c r="K14" s="1" t="s">
        <v>79</v>
      </c>
      <c r="L14" s="1">
        <f t="shared" si="0"/>
        <v>0</v>
      </c>
      <c r="M14" s="1" t="s">
        <v>99</v>
      </c>
      <c r="N14" s="1">
        <f t="shared" si="1"/>
        <v>0</v>
      </c>
      <c r="O14" s="1">
        <v>14</v>
      </c>
      <c r="P14" s="1" t="e">
        <f>RIGHT(LEFT('Nouns Master'!$D$7,O14),LEN(LEFT('Nouns Master'!$D$7,O14))-O13)</f>
        <v>#VALUE!</v>
      </c>
    </row>
    <row r="15" spans="3:16" ht="15">
      <c r="C15" s="1" t="s">
        <v>33</v>
      </c>
      <c r="D15" s="1">
        <f>IF(ISNUMBER(FIND(C15,'Nouns Master'!$D$3,1)),1,IF(ISNUMBER(FIND(C15,'Nouns Master'!$D$3,4)),2,IF(ISNUMBER(FIND(C15,'Nouns Master'!$D$3,7)),3,IF(ISNUMBER(FIND(C15,'Nouns Master'!$D$3,10)),4,IF(ISNUMBER(FIND(C15,'Nouns Master'!$D$3,13)),5,IF(ISNUMBER(FIND(C15,'Nouns Master'!$D$3,16)),6,0))))))</f>
        <v>0</v>
      </c>
      <c r="H15" s="1" t="s">
        <v>33</v>
      </c>
      <c r="I15" s="1">
        <f>IF(ISNUMBER(FIND(H15,'Nouns Master'!$D$7,1)),1,IF(ISNUMBER(FIND(H15,'Nouns Master'!$D$7,4)),2,IF(ISNUMBER(FIND(H15,'Nouns Master'!$D$7,7)),3,IF(ISNUMBER(FIND(H15,'Nouns Master'!$D$7,10)),4,IF(ISNUMBER(FIND(H15,'Nouns Master'!$D$7,13)),5,IF(ISNUMBER(FIND(H15,'Nouns Master'!$D$7,16)),6,0))))))</f>
        <v>0</v>
      </c>
      <c r="K15" s="1" t="s">
        <v>80</v>
      </c>
      <c r="L15" s="1">
        <f t="shared" si="0"/>
        <v>0</v>
      </c>
      <c r="M15" s="1" t="s">
        <v>100</v>
      </c>
      <c r="N15" s="1">
        <f t="shared" si="1"/>
        <v>0</v>
      </c>
      <c r="O15" s="1">
        <v>15</v>
      </c>
      <c r="P15" s="1" t="e">
        <f>RIGHT(LEFT('Nouns Master'!$D$7,O15),LEN(LEFT('Nouns Master'!$D$7,O15))-O14)</f>
        <v>#VALUE!</v>
      </c>
    </row>
    <row r="16" spans="3:16" ht="15">
      <c r="C16" s="2" t="s">
        <v>43</v>
      </c>
      <c r="D16" s="1">
        <f>IF(ISNUMBER(FIND(C16,'Nouns Master'!$D$3,1)),1,IF(ISNUMBER(FIND(C16,'Nouns Master'!$D$3,4)),2,IF(ISNUMBER(FIND(C16,'Nouns Master'!$D$3,7)),3,IF(ISNUMBER(FIND(C16,'Nouns Master'!$D$3,10)),4,IF(ISNUMBER(FIND(C16,'Nouns Master'!$D$3,13)),5,IF(ISNUMBER(FIND(C16,'Nouns Master'!$D$3,16)),6,0))))))</f>
        <v>0</v>
      </c>
      <c r="H16" s="2" t="s">
        <v>43</v>
      </c>
      <c r="I16" s="1">
        <f>IF(ISNUMBER(FIND(H16,'Nouns Master'!$D$7,1)),1,IF(ISNUMBER(FIND(H16,'Nouns Master'!$D$7,4)),2,IF(ISNUMBER(FIND(H16,'Nouns Master'!$D$7,7)),3,IF(ISNUMBER(FIND(H16,'Nouns Master'!$D$7,10)),4,IF(ISNUMBER(FIND(H16,'Nouns Master'!$D$7,13)),5,IF(ISNUMBER(FIND(H16,'Nouns Master'!$D$7,16)),6,0))))))</f>
        <v>0</v>
      </c>
      <c r="K16" s="1" t="s">
        <v>81</v>
      </c>
      <c r="L16" s="1">
        <f t="shared" si="0"/>
        <v>0</v>
      </c>
      <c r="M16" s="1" t="s">
        <v>101</v>
      </c>
      <c r="N16" s="1">
        <f t="shared" si="1"/>
        <v>0</v>
      </c>
      <c r="O16" s="1">
        <v>16</v>
      </c>
      <c r="P16" s="1" t="e">
        <f>RIGHT(LEFT('Nouns Master'!$D$7,O16),LEN(LEFT('Nouns Master'!$D$7,O16))-O15)</f>
        <v>#VALUE!</v>
      </c>
    </row>
    <row r="17" spans="3:16" ht="15">
      <c r="C17" s="1" t="s">
        <v>34</v>
      </c>
      <c r="D17" s="1">
        <f>IF(ISNUMBER(FIND(C17,'Nouns Master'!$D$3,1)),1,IF(ISNUMBER(FIND(C17,'Nouns Master'!$D$3,4)),2,IF(ISNUMBER(FIND(C17,'Nouns Master'!$D$3,7)),3,IF(ISNUMBER(FIND(C17,'Nouns Master'!$D$3,10)),4,IF(ISNUMBER(FIND(C17,'Nouns Master'!$D$3,13)),5,IF(ISNUMBER(FIND(C17,'Nouns Master'!$D$3,16)),6,0))))))</f>
        <v>0</v>
      </c>
      <c r="H17" s="1" t="s">
        <v>34</v>
      </c>
      <c r="I17" s="1">
        <f>IF(ISNUMBER(FIND(H17,'Nouns Master'!$D$7,1)),1,IF(ISNUMBER(FIND(H17,'Nouns Master'!$D$7,4)),2,IF(ISNUMBER(FIND(H17,'Nouns Master'!$D$7,7)),3,IF(ISNUMBER(FIND(H17,'Nouns Master'!$D$7,10)),4,IF(ISNUMBER(FIND(H17,'Nouns Master'!$D$7,13)),5,IF(ISNUMBER(FIND(H17,'Nouns Master'!$D$7,16)),6,0))))))</f>
        <v>0</v>
      </c>
      <c r="K17" s="1" t="s">
        <v>82</v>
      </c>
      <c r="L17" s="1">
        <f t="shared" si="0"/>
        <v>0</v>
      </c>
      <c r="M17" s="1" t="s">
        <v>102</v>
      </c>
      <c r="N17" s="1">
        <f t="shared" si="1"/>
        <v>0</v>
      </c>
      <c r="O17" s="1">
        <v>17</v>
      </c>
      <c r="P17" s="1" t="e">
        <f>RIGHT(LEFT('Nouns Master'!$D$7,O17),LEN(LEFT('Nouns Master'!$D$7,O17))-O16)</f>
        <v>#VALUE!</v>
      </c>
    </row>
    <row r="18" spans="3:16" ht="15">
      <c r="C18" s="2" t="s">
        <v>35</v>
      </c>
      <c r="D18" s="1">
        <f>IF(ISNUMBER(FIND(C18,'Nouns Master'!$D$3,1)),1,IF(ISNUMBER(FIND(C18,'Nouns Master'!$D$3,4)),2,IF(ISNUMBER(FIND(C18,'Nouns Master'!$D$3,7)),3,IF(ISNUMBER(FIND(C18,'Nouns Master'!$D$3,10)),4,IF(ISNUMBER(FIND(C18,'Nouns Master'!$D$3,13)),5,IF(ISNUMBER(FIND(C18,'Nouns Master'!$D$3,16)),6,0))))))</f>
        <v>0</v>
      </c>
      <c r="H18" s="2" t="s">
        <v>35</v>
      </c>
      <c r="I18" s="1">
        <f>IF(ISNUMBER(FIND(H18,'Nouns Master'!$D$7,1)),1,IF(ISNUMBER(FIND(H18,'Nouns Master'!$D$7,4)),2,IF(ISNUMBER(FIND(H18,'Nouns Master'!$D$7,7)),3,IF(ISNUMBER(FIND(H18,'Nouns Master'!$D$7,10)),4,IF(ISNUMBER(FIND(H18,'Nouns Master'!$D$7,13)),5,IF(ISNUMBER(FIND(H18,'Nouns Master'!$D$7,16)),6,0))))))</f>
        <v>0</v>
      </c>
      <c r="K18" s="1" t="s">
        <v>83</v>
      </c>
      <c r="L18" s="1">
        <f t="shared" si="0"/>
        <v>0</v>
      </c>
      <c r="M18" s="1" t="s">
        <v>103</v>
      </c>
      <c r="N18" s="1">
        <f t="shared" si="1"/>
        <v>0</v>
      </c>
      <c r="O18" s="1">
        <v>18</v>
      </c>
      <c r="P18" s="1" t="e">
        <f>RIGHT(LEFT('Nouns Master'!$D$7,O18),LEN(LEFT('Nouns Master'!$D$7,O18))-O17)</f>
        <v>#VALUE!</v>
      </c>
    </row>
    <row r="19" spans="3:16" ht="15">
      <c r="C19" s="1" t="s">
        <v>36</v>
      </c>
      <c r="D19" s="1">
        <f>IF(ISNUMBER(FIND(C19,'Nouns Master'!$D$3,1)),1,IF(ISNUMBER(FIND(C19,'Nouns Master'!$D$3,4)),2,IF(ISNUMBER(FIND(C19,'Nouns Master'!$D$3,7)),3,IF(ISNUMBER(FIND(C19,'Nouns Master'!$D$3,10)),4,IF(ISNUMBER(FIND(C19,'Nouns Master'!$D$3,13)),5,IF(ISNUMBER(FIND(C19,'Nouns Master'!$D$3,16)),6,0))))))</f>
        <v>0</v>
      </c>
      <c r="H19" s="1" t="s">
        <v>36</v>
      </c>
      <c r="I19" s="1">
        <f>IF(ISNUMBER(FIND(H19,'Nouns Master'!$D$7,1)),1,IF(ISNUMBER(FIND(H19,'Nouns Master'!$D$7,4)),2,IF(ISNUMBER(FIND(H19,'Nouns Master'!$D$7,7)),3,IF(ISNUMBER(FIND(H19,'Nouns Master'!$D$7,10)),4,IF(ISNUMBER(FIND(H19,'Nouns Master'!$D$7,13)),5,IF(ISNUMBER(FIND(H19,'Nouns Master'!$D$7,16)),6,0))))))</f>
        <v>0</v>
      </c>
      <c r="K19" s="1" t="s">
        <v>84</v>
      </c>
      <c r="L19" s="1">
        <f t="shared" si="0"/>
        <v>0</v>
      </c>
      <c r="M19" s="1" t="s">
        <v>104</v>
      </c>
      <c r="N19" s="1">
        <f t="shared" si="1"/>
        <v>0</v>
      </c>
      <c r="O19" s="1" t="str">
        <f>RIGHT('Nouns Master'!$D$7,5)</f>
        <v>minis</v>
      </c>
      <c r="P19" s="1" t="str">
        <f>LEFT(O20,LEN(O20)-1)</f>
        <v>mi</v>
      </c>
    </row>
    <row r="20" spans="3:16" ht="15">
      <c r="C20" s="1" t="s">
        <v>37</v>
      </c>
      <c r="D20" s="1">
        <f>IF(ISNUMBER(FIND(C20,'Nouns Master'!$D$3,1)),1,IF(ISNUMBER(FIND(C20,'Nouns Master'!$D$3,4)),2,IF(ISNUMBER(FIND(C20,'Nouns Master'!$D$3,7)),3,IF(ISNUMBER(FIND(C20,'Nouns Master'!$D$3,10)),4,IF(ISNUMBER(FIND(C20,'Nouns Master'!$D$3,13)),5,IF(ISNUMBER(FIND(C20,'Nouns Master'!$D$3,16)),6,0))))))</f>
        <v>0</v>
      </c>
      <c r="H20" s="1" t="s">
        <v>37</v>
      </c>
      <c r="I20" s="1">
        <f>IF(ISNUMBER(FIND(H20,'Nouns Master'!$D$7,1)),1,IF(ISNUMBER(FIND(H20,'Nouns Master'!$D$7,4)),2,IF(ISNUMBER(FIND(H20,'Nouns Master'!$D$7,7)),3,IF(ISNUMBER(FIND(H20,'Nouns Master'!$D$7,10)),4,IF(ISNUMBER(FIND(H20,'Nouns Master'!$D$7,13)),5,IF(ISNUMBER(FIND(H20,'Nouns Master'!$D$7,16)),6,0))))))</f>
        <v>0</v>
      </c>
      <c r="K20" s="1" t="s">
        <v>85</v>
      </c>
      <c r="L20" s="1">
        <f t="shared" si="0"/>
        <v>0</v>
      </c>
      <c r="M20" s="1" t="s">
        <v>105</v>
      </c>
      <c r="N20" s="1">
        <f t="shared" si="1"/>
        <v>0</v>
      </c>
      <c r="O20" s="1" t="str">
        <f>LEFT(O19,LEN(O19)-2)</f>
        <v>min</v>
      </c>
      <c r="P20" s="1" t="str">
        <f>RIGHT(P19,LEN(P19)-1)</f>
        <v>i</v>
      </c>
    </row>
    <row r="21" spans="3:16" ht="15.75">
      <c r="C21" s="1" t="s">
        <v>38</v>
      </c>
      <c r="D21" s="1">
        <f>IF(ISNUMBER(FIND(C21,'Nouns Master'!$D$3,1)),1,IF(ISNUMBER(FIND(C21,'Nouns Master'!$D$3,4)),2,IF(ISNUMBER(FIND(C21,'Nouns Master'!$D$3,7)),3,IF(ISNUMBER(FIND(C21,'Nouns Master'!$D$3,10)),4,IF(ISNUMBER(FIND(C21,'Nouns Master'!$D$3,13)),5,IF(ISNUMBER(FIND(C21,'Nouns Master'!$D$3,16)),6,0))))))</f>
        <v>0</v>
      </c>
      <c r="H21" s="1" t="s">
        <v>38</v>
      </c>
      <c r="I21" s="1">
        <f>IF(ISNUMBER(FIND(H21,'Nouns Master'!$D$7,1)),1,IF(ISNUMBER(FIND(H21,'Nouns Master'!$D$7,4)),2,IF(ISNUMBER(FIND(H21,'Nouns Master'!$D$7,7)),3,IF(ISNUMBER(FIND(H21,'Nouns Master'!$D$7,10)),4,IF(ISNUMBER(FIND(H21,'Nouns Master'!$D$7,13)),5,IF(ISNUMBER(FIND(H21,'Nouns Master'!$D$7,16)),6,0))))))</f>
        <v>0</v>
      </c>
      <c r="K21" s="3" t="s">
        <v>106</v>
      </c>
      <c r="L21" s="1">
        <f>SUM(L1:L20)</f>
        <v>2</v>
      </c>
      <c r="N21" s="1">
        <f>SUM(N1:N20)</f>
        <v>0</v>
      </c>
      <c r="P21" s="1" t="str">
        <f>IF(OR(COUNTIF(C1:C43,P20),COUNTIF(A1:A10,P20)),"Y","N")</f>
        <v>Y</v>
      </c>
    </row>
    <row r="22" spans="3:11" ht="15">
      <c r="C22" s="1" t="s">
        <v>39</v>
      </c>
      <c r="D22" s="1">
        <f>IF(ISNUMBER(FIND(C22,'Nouns Master'!$D$3,1)),1,IF(ISNUMBER(FIND(C22,'Nouns Master'!$D$3,4)),2,IF(ISNUMBER(FIND(C22,'Nouns Master'!$D$3,7)),3,IF(ISNUMBER(FIND(C22,'Nouns Master'!$D$3,10)),4,IF(ISNUMBER(FIND(C22,'Nouns Master'!$D$3,13)),5,IF(ISNUMBER(FIND(C22,'Nouns Master'!$D$3,16)),6,0))))))</f>
        <v>0</v>
      </c>
      <c r="H22" s="1" t="s">
        <v>39</v>
      </c>
      <c r="I22" s="1">
        <f>IF(ISNUMBER(FIND(H22,'Nouns Master'!$D$7,1)),1,IF(ISNUMBER(FIND(H22,'Nouns Master'!$D$7,4)),2,IF(ISNUMBER(FIND(H22,'Nouns Master'!$D$7,7)),3,IF(ISNUMBER(FIND(H22,'Nouns Master'!$D$7,10)),4,IF(ISNUMBER(FIND(H22,'Nouns Master'!$D$7,13)),5,IF(ISNUMBER(FIND(H22,'Nouns Master'!$D$7,16)),6,0))))))</f>
        <v>0</v>
      </c>
      <c r="K22" s="1">
        <f>L21-N21-IF(P21="Y",1,0)</f>
        <v>1</v>
      </c>
    </row>
    <row r="23" spans="3:9" ht="15">
      <c r="C23" s="1" t="s">
        <v>40</v>
      </c>
      <c r="D23" s="1">
        <f>IF(ISNUMBER(FIND(C23,'Nouns Master'!$D$3,1)),1,IF(ISNUMBER(FIND(C23,'Nouns Master'!$D$3,4)),2,IF(ISNUMBER(FIND(C23,'Nouns Master'!$D$3,7)),3,IF(ISNUMBER(FIND(C23,'Nouns Master'!$D$3,10)),4,IF(ISNUMBER(FIND(C23,'Nouns Master'!$D$3,13)),5,IF(ISNUMBER(FIND(C23,'Nouns Master'!$D$3,16)),6,0))))))</f>
        <v>0</v>
      </c>
      <c r="H23" s="1" t="s">
        <v>40</v>
      </c>
      <c r="I23" s="1">
        <f>IF(ISNUMBER(FIND(H23,'Nouns Master'!$D$7,1)),1,IF(ISNUMBER(FIND(H23,'Nouns Master'!$D$7,4)),2,IF(ISNUMBER(FIND(H23,'Nouns Master'!$D$7,7)),3,IF(ISNUMBER(FIND(H23,'Nouns Master'!$D$7,10)),4,IF(ISNUMBER(FIND(H23,'Nouns Master'!$D$7,13)),5,IF(ISNUMBER(FIND(H23,'Nouns Master'!$D$7,16)),6,0))))))</f>
        <v>0</v>
      </c>
    </row>
    <row r="24" spans="3:9" ht="15">
      <c r="C24" s="1" t="s">
        <v>44</v>
      </c>
      <c r="D24" s="1">
        <f>IF(ISNUMBER(FIND(C24,'Nouns Master'!$D$3,1)),1,IF(ISNUMBER(FIND(C24,'Nouns Master'!$D$3,4)),2,IF(ISNUMBER(FIND(C24,'Nouns Master'!$D$3,7)),3,IF(ISNUMBER(FIND(C24,'Nouns Master'!$D$3,10)),4,IF(ISNUMBER(FIND(C24,'Nouns Master'!$D$3,13)),5,IF(ISNUMBER(FIND(C24,'Nouns Master'!$D$3,16)),6,0))))))</f>
        <v>0</v>
      </c>
      <c r="H24" s="1" t="s">
        <v>44</v>
      </c>
      <c r="I24" s="1">
        <f>IF(ISNUMBER(FIND(H24,'Nouns Master'!$D$7,1)),1,IF(ISNUMBER(FIND(H24,'Nouns Master'!$D$7,4)),2,IF(ISNUMBER(FIND(H24,'Nouns Master'!$D$7,7)),3,IF(ISNUMBER(FIND(H24,'Nouns Master'!$D$7,10)),4,IF(ISNUMBER(FIND(H24,'Nouns Master'!$D$7,13)),5,IF(ISNUMBER(FIND(H24,'Nouns Master'!$D$7,16)),6,0))))))</f>
        <v>0</v>
      </c>
    </row>
    <row r="25" spans="3:9" ht="15">
      <c r="C25" s="2" t="s">
        <v>46</v>
      </c>
      <c r="D25" s="1">
        <f>IF(ISNUMBER(FIND(C25,'Nouns Master'!$D$3,1)),1,IF(ISNUMBER(FIND(C25,'Nouns Master'!$D$3,4)),2,IF(ISNUMBER(FIND(C25,'Nouns Master'!$D$3,7)),3,IF(ISNUMBER(FIND(C25,'Nouns Master'!$D$3,10)),4,IF(ISNUMBER(FIND(C25,'Nouns Master'!$D$3,13)),5,IF(ISNUMBER(FIND(C25,'Nouns Master'!$D$3,16)),6,0))))))</f>
        <v>0</v>
      </c>
      <c r="H25" s="2" t="s">
        <v>46</v>
      </c>
      <c r="I25" s="1">
        <f>IF(ISNUMBER(FIND(H25,'Nouns Master'!$D$7,1)),1,IF(ISNUMBER(FIND(H25,'Nouns Master'!$D$7,4)),2,IF(ISNUMBER(FIND(H25,'Nouns Master'!$D$7,7)),3,IF(ISNUMBER(FIND(H25,'Nouns Master'!$D$7,10)),4,IF(ISNUMBER(FIND(H25,'Nouns Master'!$D$7,13)),5,IF(ISNUMBER(FIND(H25,'Nouns Master'!$D$7,16)),6,0))))))</f>
        <v>0</v>
      </c>
    </row>
    <row r="26" spans="3:9" ht="15">
      <c r="C26" s="2" t="s">
        <v>45</v>
      </c>
      <c r="D26" s="1">
        <f>IF(ISNUMBER(FIND(C26,'Nouns Master'!$D$3,1)),1,IF(ISNUMBER(FIND(C26,'Nouns Master'!$D$3,4)),2,IF(ISNUMBER(FIND(C26,'Nouns Master'!$D$3,7)),3,IF(ISNUMBER(FIND(C26,'Nouns Master'!$D$3,10)),4,IF(ISNUMBER(FIND(C26,'Nouns Master'!$D$3,13)),5,IF(ISNUMBER(FIND(C26,'Nouns Master'!$D$3,16)),6,0))))))</f>
        <v>0</v>
      </c>
      <c r="H26" s="2" t="s">
        <v>45</v>
      </c>
      <c r="I26" s="1">
        <f>IF(ISNUMBER(FIND(H26,'Nouns Master'!$D$7,1)),1,IF(ISNUMBER(FIND(H26,'Nouns Master'!$D$7,4)),2,IF(ISNUMBER(FIND(H26,'Nouns Master'!$D$7,7)),3,IF(ISNUMBER(FIND(H26,'Nouns Master'!$D$7,10)),4,IF(ISNUMBER(FIND(H26,'Nouns Master'!$D$7,13)),5,IF(ISNUMBER(FIND(H26,'Nouns Master'!$D$7,16)),6,0))))))</f>
        <v>0</v>
      </c>
    </row>
    <row r="27" spans="3:9" ht="15">
      <c r="C27" s="2" t="s">
        <v>47</v>
      </c>
      <c r="D27" s="1">
        <f>IF(ISNUMBER(FIND(C27,'Nouns Master'!$D$3,1)),1,IF(ISNUMBER(FIND(C27,'Nouns Master'!$D$3,4)),2,IF(ISNUMBER(FIND(C27,'Nouns Master'!$D$3,7)),3,IF(ISNUMBER(FIND(C27,'Nouns Master'!$D$3,10)),4,IF(ISNUMBER(FIND(C27,'Nouns Master'!$D$3,13)),5,IF(ISNUMBER(FIND(C27,'Nouns Master'!$D$3,16)),6,0))))))</f>
        <v>0</v>
      </c>
      <c r="H27" s="2" t="s">
        <v>47</v>
      </c>
      <c r="I27" s="1">
        <f>IF(ISNUMBER(FIND(H27,'Nouns Master'!$D$7,1)),1,IF(ISNUMBER(FIND(H27,'Nouns Master'!$D$7,4)),2,IF(ISNUMBER(FIND(H27,'Nouns Master'!$D$7,7)),3,IF(ISNUMBER(FIND(H27,'Nouns Master'!$D$7,10)),4,IF(ISNUMBER(FIND(H27,'Nouns Master'!$D$7,13)),5,IF(ISNUMBER(FIND(H27,'Nouns Master'!$D$7,16)),6,0))))))</f>
        <v>0</v>
      </c>
    </row>
    <row r="28" spans="3:9" ht="15">
      <c r="C28" s="2" t="s">
        <v>48</v>
      </c>
      <c r="D28" s="1">
        <f>IF(ISNUMBER(FIND(C28,'Nouns Master'!$D$3,1)),1,IF(ISNUMBER(FIND(C28,'Nouns Master'!$D$3,4)),2,IF(ISNUMBER(FIND(C28,'Nouns Master'!$D$3,7)),3,IF(ISNUMBER(FIND(C28,'Nouns Master'!$D$3,10)),4,IF(ISNUMBER(FIND(C28,'Nouns Master'!$D$3,13)),5,IF(ISNUMBER(FIND(C28,'Nouns Master'!$D$3,16)),6,0))))))</f>
        <v>0</v>
      </c>
      <c r="H28" s="2" t="s">
        <v>48</v>
      </c>
      <c r="I28" s="1">
        <f>IF(ISNUMBER(FIND(H28,'Nouns Master'!$D$7,1)),1,IF(ISNUMBER(FIND(H28,'Nouns Master'!$D$7,4)),2,IF(ISNUMBER(FIND(H28,'Nouns Master'!$D$7,7)),3,IF(ISNUMBER(FIND(H28,'Nouns Master'!$D$7,10)),4,IF(ISNUMBER(FIND(H28,'Nouns Master'!$D$7,13)),5,IF(ISNUMBER(FIND(H28,'Nouns Master'!$D$7,16)),6,0))))))</f>
        <v>0</v>
      </c>
    </row>
    <row r="29" spans="3:9" ht="15">
      <c r="C29" s="1" t="s">
        <v>49</v>
      </c>
      <c r="D29" s="1">
        <f>IF(ISNUMBER(FIND(C29,'Nouns Master'!$D$3,1)),1,IF(ISNUMBER(FIND(C29,'Nouns Master'!$D$3,4)),2,IF(ISNUMBER(FIND(C29,'Nouns Master'!$D$3,7)),3,IF(ISNUMBER(FIND(C29,'Nouns Master'!$D$3,10)),4,IF(ISNUMBER(FIND(C29,'Nouns Master'!$D$3,13)),5,IF(ISNUMBER(FIND(C29,'Nouns Master'!$D$3,16)),6,0))))))</f>
        <v>0</v>
      </c>
      <c r="H29" s="1" t="s">
        <v>49</v>
      </c>
      <c r="I29" s="1">
        <f>IF(ISNUMBER(FIND(H29,'Nouns Master'!$D$7,1)),1,IF(ISNUMBER(FIND(H29,'Nouns Master'!$D$7,4)),2,IF(ISNUMBER(FIND(H29,'Nouns Master'!$D$7,7)),3,IF(ISNUMBER(FIND(H29,'Nouns Master'!$D$7,10)),4,IF(ISNUMBER(FIND(H29,'Nouns Master'!$D$7,13)),5,IF(ISNUMBER(FIND(H29,'Nouns Master'!$D$7,16)),6,0))))))</f>
        <v>0</v>
      </c>
    </row>
    <row r="30" spans="3:9" ht="15">
      <c r="C30" s="2" t="s">
        <v>50</v>
      </c>
      <c r="D30" s="1">
        <f>IF(ISNUMBER(FIND(C30,'Nouns Master'!$D$3,1)),1,IF(ISNUMBER(FIND(C30,'Nouns Master'!$D$3,4)),2,IF(ISNUMBER(FIND(C30,'Nouns Master'!$D$3,7)),3,IF(ISNUMBER(FIND(C30,'Nouns Master'!$D$3,10)),4,IF(ISNUMBER(FIND(C30,'Nouns Master'!$D$3,13)),5,IF(ISNUMBER(FIND(C30,'Nouns Master'!$D$3,16)),6,0))))))</f>
        <v>0</v>
      </c>
      <c r="H30" s="2" t="s">
        <v>50</v>
      </c>
      <c r="I30" s="1">
        <f>IF(ISNUMBER(FIND(H30,'Nouns Master'!$D$7,1)),1,IF(ISNUMBER(FIND(H30,'Nouns Master'!$D$7,4)),2,IF(ISNUMBER(FIND(H30,'Nouns Master'!$D$7,7)),3,IF(ISNUMBER(FIND(H30,'Nouns Master'!$D$7,10)),4,IF(ISNUMBER(FIND(H30,'Nouns Master'!$D$7,13)),5,IF(ISNUMBER(FIND(H30,'Nouns Master'!$D$7,16)),6,0))))))</f>
        <v>0</v>
      </c>
    </row>
    <row r="31" spans="3:9" ht="15">
      <c r="C31" s="2" t="s">
        <v>51</v>
      </c>
      <c r="D31" s="1">
        <f>IF(ISNUMBER(FIND(C31,'Nouns Master'!$D$3,1)),1,IF(ISNUMBER(FIND(C31,'Nouns Master'!$D$3,4)),2,IF(ISNUMBER(FIND(C31,'Nouns Master'!$D$3,7)),3,IF(ISNUMBER(FIND(C31,'Nouns Master'!$D$3,10)),4,IF(ISNUMBER(FIND(C31,'Nouns Master'!$D$3,13)),5,IF(ISNUMBER(FIND(C31,'Nouns Master'!$D$3,16)),6,0))))))</f>
        <v>0</v>
      </c>
      <c r="H31" s="2" t="s">
        <v>51</v>
      </c>
      <c r="I31" s="1">
        <f>IF(ISNUMBER(FIND(H31,'Nouns Master'!$D$7,1)),1,IF(ISNUMBER(FIND(H31,'Nouns Master'!$D$7,4)),2,IF(ISNUMBER(FIND(H31,'Nouns Master'!$D$7,7)),3,IF(ISNUMBER(FIND(H31,'Nouns Master'!$D$7,10)),4,IF(ISNUMBER(FIND(H31,'Nouns Master'!$D$7,13)),5,IF(ISNUMBER(FIND(H31,'Nouns Master'!$D$7,16)),6,0))))))</f>
        <v>0</v>
      </c>
    </row>
    <row r="32" spans="3:9" ht="15">
      <c r="C32" s="2" t="s">
        <v>52</v>
      </c>
      <c r="D32" s="1">
        <f>IF(ISNUMBER(FIND(C32,'Nouns Master'!$D$3,1)),1,IF(ISNUMBER(FIND(C32,'Nouns Master'!$D$3,4)),2,IF(ISNUMBER(FIND(C32,'Nouns Master'!$D$3,7)),3,IF(ISNUMBER(FIND(C32,'Nouns Master'!$D$3,10)),4,IF(ISNUMBER(FIND(C32,'Nouns Master'!$D$3,13)),5,IF(ISNUMBER(FIND(C32,'Nouns Master'!$D$3,16)),6,0))))))</f>
        <v>0</v>
      </c>
      <c r="H32" s="2" t="s">
        <v>52</v>
      </c>
      <c r="I32" s="1">
        <f>IF(ISNUMBER(FIND(H32,'Nouns Master'!$D$7,1)),1,IF(ISNUMBER(FIND(H32,'Nouns Master'!$D$7,4)),2,IF(ISNUMBER(FIND(H32,'Nouns Master'!$D$7,7)),3,IF(ISNUMBER(FIND(H32,'Nouns Master'!$D$7,10)),4,IF(ISNUMBER(FIND(H32,'Nouns Master'!$D$7,13)),5,IF(ISNUMBER(FIND(H32,'Nouns Master'!$D$7,16)),6,0))))))</f>
        <v>0</v>
      </c>
    </row>
    <row r="33" spans="3:9" ht="15">
      <c r="C33" s="2" t="s">
        <v>53</v>
      </c>
      <c r="D33" s="1">
        <f>IF(ISNUMBER(FIND(C33,'Nouns Master'!$D$3,1)),1,IF(ISNUMBER(FIND(C33,'Nouns Master'!$D$3,4)),2,IF(ISNUMBER(FIND(C33,'Nouns Master'!$D$3,7)),3,IF(ISNUMBER(FIND(C33,'Nouns Master'!$D$3,10)),4,IF(ISNUMBER(FIND(C33,'Nouns Master'!$D$3,13)),5,IF(ISNUMBER(FIND(C33,'Nouns Master'!$D$3,16)),6,0))))))</f>
        <v>0</v>
      </c>
      <c r="H33" s="2" t="s">
        <v>53</v>
      </c>
      <c r="I33" s="1">
        <f>IF(ISNUMBER(FIND(H33,'Nouns Master'!$D$7,1)),1,IF(ISNUMBER(FIND(H33,'Nouns Master'!$D$7,4)),2,IF(ISNUMBER(FIND(H33,'Nouns Master'!$D$7,7)),3,IF(ISNUMBER(FIND(H33,'Nouns Master'!$D$7,10)),4,IF(ISNUMBER(FIND(H33,'Nouns Master'!$D$7,13)),5,IF(ISNUMBER(FIND(H33,'Nouns Master'!$D$7,16)),6,0))))))</f>
        <v>0</v>
      </c>
    </row>
    <row r="34" spans="3:9" ht="15">
      <c r="C34" s="1" t="s">
        <v>54</v>
      </c>
      <c r="D34" s="1">
        <f>IF(ISNUMBER(FIND(C34,'Nouns Master'!$D$3,1)),1,IF(ISNUMBER(FIND(C34,'Nouns Master'!$D$3,4)),2,IF(ISNUMBER(FIND(C34,'Nouns Master'!$D$3,7)),3,IF(ISNUMBER(FIND(C34,'Nouns Master'!$D$3,10)),4,IF(ISNUMBER(FIND(C34,'Nouns Master'!$D$3,13)),5,IF(ISNUMBER(FIND(C34,'Nouns Master'!$D$3,16)),6,0))))))</f>
        <v>0</v>
      </c>
      <c r="H34" s="1" t="s">
        <v>54</v>
      </c>
      <c r="I34" s="1">
        <f>IF(ISNUMBER(FIND(H34,'Nouns Master'!$D$7,1)),1,IF(ISNUMBER(FIND(H34,'Nouns Master'!$D$7,4)),2,IF(ISNUMBER(FIND(H34,'Nouns Master'!$D$7,7)),3,IF(ISNUMBER(FIND(H34,'Nouns Master'!$D$7,10)),4,IF(ISNUMBER(FIND(H34,'Nouns Master'!$D$7,13)),5,IF(ISNUMBER(FIND(H34,'Nouns Master'!$D$7,16)),6,0))))))</f>
        <v>0</v>
      </c>
    </row>
    <row r="35" spans="3:9" ht="15">
      <c r="C35" s="1" t="s">
        <v>55</v>
      </c>
      <c r="D35" s="1">
        <f>IF(ISNUMBER(FIND(C35,'Nouns Master'!$D$3,1)),1,IF(ISNUMBER(FIND(C35,'Nouns Master'!$D$3,4)),2,IF(ISNUMBER(FIND(C35,'Nouns Master'!$D$3,7)),3,IF(ISNUMBER(FIND(C35,'Nouns Master'!$D$3,10)),4,IF(ISNUMBER(FIND(C35,'Nouns Master'!$D$3,13)),5,IF(ISNUMBER(FIND(C35,'Nouns Master'!$D$3,16)),6,0))))))</f>
        <v>0</v>
      </c>
      <c r="H35" s="1" t="s">
        <v>55</v>
      </c>
      <c r="I35" s="1">
        <f>IF(ISNUMBER(FIND(H35,'Nouns Master'!$D$7,1)),1,IF(ISNUMBER(FIND(H35,'Nouns Master'!$D$7,4)),2,IF(ISNUMBER(FIND(H35,'Nouns Master'!$D$7,7)),3,IF(ISNUMBER(FIND(H35,'Nouns Master'!$D$7,10)),4,IF(ISNUMBER(FIND(H35,'Nouns Master'!$D$7,13)),5,IF(ISNUMBER(FIND(H35,'Nouns Master'!$D$7,16)),6,0))))))</f>
        <v>0</v>
      </c>
    </row>
    <row r="36" spans="3:9" ht="15">
      <c r="C36" s="1" t="s">
        <v>56</v>
      </c>
      <c r="D36" s="1">
        <f>IF(ISNUMBER(FIND(C36,'Nouns Master'!$D$3,1)),1,IF(ISNUMBER(FIND(C36,'Nouns Master'!$D$3,4)),2,IF(ISNUMBER(FIND(C36,'Nouns Master'!$D$3,7)),3,IF(ISNUMBER(FIND(C36,'Nouns Master'!$D$3,10)),4,IF(ISNUMBER(FIND(C36,'Nouns Master'!$D$3,13)),5,IF(ISNUMBER(FIND(C36,'Nouns Master'!$D$3,16)),6,0))))))</f>
        <v>0</v>
      </c>
      <c r="H36" s="1" t="s">
        <v>56</v>
      </c>
      <c r="I36" s="1">
        <f>IF(ISNUMBER(FIND(H36,'Nouns Master'!$D$7,1)),1,IF(ISNUMBER(FIND(H36,'Nouns Master'!$D$7,4)),2,IF(ISNUMBER(FIND(H36,'Nouns Master'!$D$7,7)),3,IF(ISNUMBER(FIND(H36,'Nouns Master'!$D$7,10)),4,IF(ISNUMBER(FIND(H36,'Nouns Master'!$D$7,13)),5,IF(ISNUMBER(FIND(H36,'Nouns Master'!$D$7,16)),6,0))))))</f>
        <v>0</v>
      </c>
    </row>
    <row r="37" spans="3:9" ht="15">
      <c r="C37" s="1" t="s">
        <v>57</v>
      </c>
      <c r="D37" s="1">
        <f>IF(ISNUMBER(FIND(C37,'Nouns Master'!$D$3,1)),1,IF(ISNUMBER(FIND(C37,'Nouns Master'!$D$3,4)),2,IF(ISNUMBER(FIND(C37,'Nouns Master'!$D$3,7)),3,IF(ISNUMBER(FIND(C37,'Nouns Master'!$D$3,10)),4,IF(ISNUMBER(FIND(C37,'Nouns Master'!$D$3,13)),5,IF(ISNUMBER(FIND(C37,'Nouns Master'!$D$3,16)),6,0))))))</f>
        <v>0</v>
      </c>
      <c r="H37" s="1" t="s">
        <v>57</v>
      </c>
      <c r="I37" s="1">
        <f>IF(ISNUMBER(FIND(H37,'Nouns Master'!$D$7,1)),1,IF(ISNUMBER(FIND(H37,'Nouns Master'!$D$7,4)),2,IF(ISNUMBER(FIND(H37,'Nouns Master'!$D$7,7)),3,IF(ISNUMBER(FIND(H37,'Nouns Master'!$D$7,10)),4,IF(ISNUMBER(FIND(H37,'Nouns Master'!$D$7,13)),5,IF(ISNUMBER(FIND(H37,'Nouns Master'!$D$7,16)),6,0))))))</f>
        <v>0</v>
      </c>
    </row>
    <row r="38" spans="3:9" ht="15">
      <c r="C38" s="1" t="s">
        <v>58</v>
      </c>
      <c r="D38" s="1">
        <f>IF(ISNUMBER(FIND(C38,'Nouns Master'!$D$3,1)),1,IF(ISNUMBER(FIND(C38,'Nouns Master'!$D$3,4)),2,IF(ISNUMBER(FIND(C38,'Nouns Master'!$D$3,7)),3,IF(ISNUMBER(FIND(C38,'Nouns Master'!$D$3,10)),4,IF(ISNUMBER(FIND(C38,'Nouns Master'!$D$3,13)),5,IF(ISNUMBER(FIND(C38,'Nouns Master'!$D$3,16)),6,0))))))</f>
        <v>0</v>
      </c>
      <c r="H38" s="1" t="s">
        <v>58</v>
      </c>
      <c r="I38" s="1">
        <f>IF(ISNUMBER(FIND(H38,'Nouns Master'!$D$7,1)),1,IF(ISNUMBER(FIND(H38,'Nouns Master'!$D$7,4)),2,IF(ISNUMBER(FIND(H38,'Nouns Master'!$D$7,7)),3,IF(ISNUMBER(FIND(H38,'Nouns Master'!$D$7,10)),4,IF(ISNUMBER(FIND(H38,'Nouns Master'!$D$7,13)),5,IF(ISNUMBER(FIND(H38,'Nouns Master'!$D$7,16)),6,0))))))</f>
        <v>0</v>
      </c>
    </row>
    <row r="39" spans="3:9" ht="15">
      <c r="C39" s="1" t="s">
        <v>59</v>
      </c>
      <c r="D39" s="1">
        <f>IF(ISNUMBER(FIND(C39,'Nouns Master'!$D$3,1)),1,IF(ISNUMBER(FIND(C39,'Nouns Master'!$D$3,4)),2,IF(ISNUMBER(FIND(C39,'Nouns Master'!$D$3,7)),3,IF(ISNUMBER(FIND(C39,'Nouns Master'!$D$3,10)),4,IF(ISNUMBER(FIND(C39,'Nouns Master'!$D$3,13)),5,IF(ISNUMBER(FIND(C39,'Nouns Master'!$D$3,16)),6,0))))))</f>
        <v>0</v>
      </c>
      <c r="H39" s="1" t="s">
        <v>59</v>
      </c>
      <c r="I39" s="1">
        <f>IF(ISNUMBER(FIND(H39,'Nouns Master'!$D$7,1)),1,IF(ISNUMBER(FIND(H39,'Nouns Master'!$D$7,4)),2,IF(ISNUMBER(FIND(H39,'Nouns Master'!$D$7,7)),3,IF(ISNUMBER(FIND(H39,'Nouns Master'!$D$7,10)),4,IF(ISNUMBER(FIND(H39,'Nouns Master'!$D$7,13)),5,IF(ISNUMBER(FIND(H39,'Nouns Master'!$D$7,16)),6,0))))))</f>
        <v>0</v>
      </c>
    </row>
    <row r="40" spans="3:9" ht="15">
      <c r="C40" s="2" t="s">
        <v>60</v>
      </c>
      <c r="D40" s="1">
        <f>IF(ISNUMBER(FIND(C40,'Nouns Master'!$D$3,1)),1,IF(ISNUMBER(FIND(C40,'Nouns Master'!$D$3,4)),2,IF(ISNUMBER(FIND(C40,'Nouns Master'!$D$3,7)),3,IF(ISNUMBER(FIND(C40,'Nouns Master'!$D$3,10)),4,IF(ISNUMBER(FIND(C40,'Nouns Master'!$D$3,13)),5,IF(ISNUMBER(FIND(C40,'Nouns Master'!$D$3,16)),6,0))))))</f>
        <v>0</v>
      </c>
      <c r="H40" s="2" t="s">
        <v>60</v>
      </c>
      <c r="I40" s="1">
        <f>IF(ISNUMBER(FIND(H40,'Nouns Master'!$D$7,1)),1,IF(ISNUMBER(FIND(H40,'Nouns Master'!$D$7,4)),2,IF(ISNUMBER(FIND(H40,'Nouns Master'!$D$7,7)),3,IF(ISNUMBER(FIND(H40,'Nouns Master'!$D$7,10)),4,IF(ISNUMBER(FIND(H40,'Nouns Master'!$D$7,13)),5,IF(ISNUMBER(FIND(H40,'Nouns Master'!$D$7,16)),6,0))))))</f>
        <v>0</v>
      </c>
    </row>
    <row r="41" spans="3:9" ht="15">
      <c r="C41" s="2" t="s">
        <v>61</v>
      </c>
      <c r="D41" s="1">
        <f>IF(ISNUMBER(FIND(C41,'Nouns Master'!$D$3,1)),1,IF(ISNUMBER(FIND(C41,'Nouns Master'!$D$3,4)),2,IF(ISNUMBER(FIND(C41,'Nouns Master'!$D$3,7)),3,IF(ISNUMBER(FIND(C41,'Nouns Master'!$D$3,10)),4,IF(ISNUMBER(FIND(C41,'Nouns Master'!$D$3,13)),5,IF(ISNUMBER(FIND(C41,'Nouns Master'!$D$3,16)),6,0))))))</f>
        <v>0</v>
      </c>
      <c r="H41" s="2" t="s">
        <v>61</v>
      </c>
      <c r="I41" s="1">
        <f>IF(ISNUMBER(FIND(H41,'Nouns Master'!$D$7,1)),1,IF(ISNUMBER(FIND(H41,'Nouns Master'!$D$7,4)),2,IF(ISNUMBER(FIND(H41,'Nouns Master'!$D$7,7)),3,IF(ISNUMBER(FIND(H41,'Nouns Master'!$D$7,10)),4,IF(ISNUMBER(FIND(H41,'Nouns Master'!$D$7,13)),5,IF(ISNUMBER(FIND(H41,'Nouns Master'!$D$7,16)),6,0))))))</f>
        <v>0</v>
      </c>
    </row>
    <row r="42" spans="3:9" ht="15">
      <c r="C42" s="2" t="s">
        <v>62</v>
      </c>
      <c r="D42" s="1">
        <f>IF(ISNUMBER(FIND(C42,'Nouns Master'!$D$3,1)),1,IF(ISNUMBER(FIND(C42,'Nouns Master'!$D$3,4)),2,IF(ISNUMBER(FIND(C42,'Nouns Master'!$D$3,7)),3,IF(ISNUMBER(FIND(C42,'Nouns Master'!$D$3,10)),4,IF(ISNUMBER(FIND(C42,'Nouns Master'!$D$3,13)),5,IF(ISNUMBER(FIND(C42,'Nouns Master'!$D$3,16)),6,0))))))</f>
        <v>0</v>
      </c>
      <c r="H42" s="2" t="s">
        <v>62</v>
      </c>
      <c r="I42" s="1">
        <f>IF(ISNUMBER(FIND(H42,'Nouns Master'!$D$7,1)),1,IF(ISNUMBER(FIND(H42,'Nouns Master'!$D$7,4)),2,IF(ISNUMBER(FIND(H42,'Nouns Master'!$D$7,7)),3,IF(ISNUMBER(FIND(H42,'Nouns Master'!$D$7,10)),4,IF(ISNUMBER(FIND(H42,'Nouns Master'!$D$7,13)),5,IF(ISNUMBER(FIND(H42,'Nouns Master'!$D$7,16)),6,0))))))</f>
        <v>0</v>
      </c>
    </row>
    <row r="43" spans="3:9" ht="15">
      <c r="C43" s="2" t="s">
        <v>63</v>
      </c>
      <c r="D43" s="1">
        <f>IF(ISNUMBER(FIND(C43,'Nouns Master'!$D$3,1)),1,IF(ISNUMBER(FIND(C43,'Nouns Master'!$D$3,4)),2,IF(ISNUMBER(FIND(C43,'Nouns Master'!$D$3,7)),3,IF(ISNUMBER(FIND(C43,'Nouns Master'!$D$3,10)),4,IF(ISNUMBER(FIND(C43,'Nouns Master'!$D$3,13)),5,IF(ISNUMBER(FIND(C43,'Nouns Master'!$D$3,16)),6,0))))))</f>
        <v>0</v>
      </c>
      <c r="H43" s="2" t="s">
        <v>63</v>
      </c>
      <c r="I43" s="1">
        <f>IF(ISNUMBER(FIND(H43,'Nouns Master'!$D$7,1)),1,IF(ISNUMBER(FIND(H43,'Nouns Master'!$D$7,4)),2,IF(ISNUMBER(FIND(H43,'Nouns Master'!$D$7,7)),3,IF(ISNUMBER(FIND(H43,'Nouns Master'!$D$7,10)),4,IF(ISNUMBER(FIND(H43,'Nouns Master'!$D$7,13)),5,IF(ISNUMBER(FIND(H43,'Nouns Master'!$D$7,16)),6,0))))))</f>
        <v>0</v>
      </c>
    </row>
    <row r="44" spans="2:9" ht="15.75">
      <c r="B44" s="3" t="s">
        <v>64</v>
      </c>
      <c r="D44" s="1">
        <f>SUM(D1:D43)</f>
        <v>0</v>
      </c>
      <c r="F44" s="3"/>
      <c r="G44" s="3" t="s">
        <v>65</v>
      </c>
      <c r="I44" s="1">
        <f>SUM(I1:I43)</f>
        <v>0</v>
      </c>
    </row>
    <row r="45" spans="2:7" ht="15.75">
      <c r="B45" s="1">
        <f>B11-D44</f>
        <v>2</v>
      </c>
      <c r="D45" s="3"/>
      <c r="G45" s="1">
        <f>G11-I44</f>
        <v>2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17"/>
  <sheetViews>
    <sheetView workbookViewId="0" topLeftCell="A1">
      <selection activeCell="E4" sqref="E4"/>
    </sheetView>
  </sheetViews>
  <sheetFormatPr defaultColWidth="9.140625" defaultRowHeight="12.75"/>
  <cols>
    <col min="1" max="1" width="18.00390625" style="1" customWidth="1"/>
    <col min="2" max="2" width="3.7109375" style="1" customWidth="1"/>
    <col min="3" max="3" width="13.7109375" style="1" bestFit="1" customWidth="1"/>
    <col min="4" max="5" width="20.7109375" style="1" customWidth="1"/>
    <col min="6" max="16384" width="9.140625" style="1" customWidth="1"/>
  </cols>
  <sheetData>
    <row r="1" spans="1:5" ht="15.75">
      <c r="A1" s="5" t="s">
        <v>8</v>
      </c>
      <c r="B1" s="52" t="s">
        <v>10</v>
      </c>
      <c r="C1" s="52"/>
      <c r="D1" s="50" t="s">
        <v>110</v>
      </c>
      <c r="E1" s="50"/>
    </row>
    <row r="2" spans="1:5" ht="15.75">
      <c r="A2" s="6" t="str">
        <f>IF(OR($D$3="fīlia",$D$3="dea"),"Irregular Declension",IF(RIGHT($D$7,2)="ēī","Fifth Declension",IF(RIGHT($D$7,2)="ae","First Declension",IF(RIGHT($D$7,1)="ī","Second Declension",IF(OR(RIGHT($D$7,2)="ïs",RIGHT($D$7,2)="is"),"Third Declension",IF(RIGHT($D$7,2)="ūs","Fourth Declension","Indeclensible"))))))</f>
        <v>Third Declension</v>
      </c>
      <c r="B2" s="53" t="str">
        <f>IF(A2="Third Declension",A5,"Not i-Stem")</f>
        <v>Not i-Stem</v>
      </c>
      <c r="C2" s="53"/>
      <c r="D2" s="13" t="s">
        <v>7</v>
      </c>
      <c r="E2" s="13" t="s">
        <v>6</v>
      </c>
    </row>
    <row r="3" spans="1:5" ht="15.75" customHeight="1">
      <c r="A3" s="5" t="s">
        <v>9</v>
      </c>
      <c r="B3" s="51" t="s">
        <v>117</v>
      </c>
      <c r="C3" s="7" t="s">
        <v>1</v>
      </c>
      <c r="D3" s="4" t="str">
        <f>Magister!C2</f>
        <v>homō</v>
      </c>
      <c r="E3" s="4" t="str">
        <f>IF(A4="N",LEFT($A$8,LEN($A$8)-IF(A2="Second Declension",1,2))&amp;IF(B2="i-Stem","ia",IF(A2="Fourth Declension","ua","a")),IF(OR(A2="First Declension",A2="Second Declension",A2="Fourth Declension"),D7,LEFT(D7,LEN(D7)-IF(A2="Second Declension",1,2))&amp;"ēs"))</f>
        <v>hominēs</v>
      </c>
    </row>
    <row r="4" spans="1:5" ht="15.75">
      <c r="A4" s="6" t="str">
        <f>Magister!$A$2</f>
        <v>M</v>
      </c>
      <c r="B4" s="51"/>
      <c r="C4" s="7" t="s">
        <v>2</v>
      </c>
      <c r="D4" s="4" t="str">
        <f>IF($A$4="N",D3,LEFT($A$8,LEN($A$8)-IF(A2="Second Declension",1,2))&amp;IF(A2="First Declension","am",IF(A2="Second Declension","um",IF(A2="Fourth Declension","um","em"))))</f>
        <v>hominem</v>
      </c>
      <c r="E4" s="4" t="str">
        <f>IF(A4="N",E3,LEFT($A$8,LEN($A$8)-IF(A2="Second Declension",1,2))&amp;IF(A2="First Declension","ās",IF(A2="Second Declension","ōs",IF(A2="Fourth Declension","ūs","ēs"))))</f>
        <v>hominēs</v>
      </c>
    </row>
    <row r="5" spans="1:5" ht="15.75">
      <c r="A5" s="27" t="str">
        <f>IF(OR(AND(OR(RIGHT(D3,2)="is",RIGHT(D3,2)="es"),'Word Analysis'!B45='Nouns Master'!I44),AND('Word Analysis'!B45=1,'Word Analysis'!K22&gt;=2),AND(A4="N",OR(RIGHT(D3,1)="e",RIGHT(D3,2)="al",RIGHT(D3,2)="ar"))),"i-Stem","Not i-Stem")</f>
        <v>Not i-Stem</v>
      </c>
      <c r="B5" s="51"/>
      <c r="C5" s="7" t="s">
        <v>3</v>
      </c>
      <c r="D5" s="4" t="str">
        <f>IF(A2="Third Declension",LEFT(D7,LEN(D7)-2)&amp;IF(B2="i-Stem",IF(A4="N","ī","e"),"e"),IF(A2="Fourth Declension",LEFT(D7,LEN(D7)-2)&amp;"ū",IF(A2="Fifth Declension",LEFT(D7,LEN(D7)-2)&amp;"ē",LEFT(E4,LEN(E4)-IF(A4="N",1,2))&amp;IF(OR(A4="M",A4="N"),"ō","ā"))))</f>
        <v>homine</v>
      </c>
      <c r="E5" s="4" t="str">
        <f>IF($D$3="deus",$D$7&amp;"s",IF(OR($D$3="fīlia",$D$3="superfīlia",$D$3="subfīlia",$D$3="semifīlia",$D$3="suprāfīlia",$D$3="dea",$D$3="superdea",$D$3="subdea",$D$3="semidea",$D$3="suprādea"),LEFT($D$3,LEN($D$3)-1)&amp;"ābus",IF(OR(A2="First Declension",A2="Second Declension"),LEFT(D5,LEN(D5)-1)&amp;"īs",IF(A2="Fifth Declension",D5&amp;"bus",LEFT(D7,LEN(D7)-2)&amp;"ibus"))))</f>
        <v>hominibus</v>
      </c>
    </row>
    <row r="6" spans="1:5" ht="15.75">
      <c r="A6" s="28"/>
      <c r="B6" s="51"/>
      <c r="C6" s="7" t="s">
        <v>4</v>
      </c>
      <c r="D6" s="4" t="str">
        <f>IF(A2="Third Declension",LEFT(D7,LEN(D7)-2)&amp;"ī",IF(A2="Fourth Declension",IF($A$4="N",D4,LEFT(D7,LEN(D7)-2)&amp;"uī"),IF(OR(A2="First Declension",A2="Fifth Declension"),D7,D5)))</f>
        <v>hominī</v>
      </c>
      <c r="E6" s="4" t="str">
        <f>E5</f>
        <v>hominibus</v>
      </c>
    </row>
    <row r="7" spans="1:5" ht="15.75">
      <c r="A7" s="28"/>
      <c r="B7" s="51"/>
      <c r="C7" s="7" t="s">
        <v>5</v>
      </c>
      <c r="D7" s="4" t="str">
        <f>Magister!D2</f>
        <v>hominis</v>
      </c>
      <c r="E7" s="4" t="str">
        <f>IF(OR(A2="First Declension",A2="Second Declension",A2="Fifth Declension"),D5&amp;"rum",IF(A2="Third Declension",LEFT(D5,LEN(D5)-1)&amp;IF(B2="i-Stem","ium","um"),IF(A2="Fourth Declension",LEFT(D7,LEN(D7)-2)&amp;"uum",LEFT(D7,LEN(D7)-2)&amp;"erum")))</f>
        <v>hominum</v>
      </c>
    </row>
    <row r="8" spans="1:5" ht="15.75">
      <c r="A8" s="48" t="str">
        <f>IF($A$2="Second Declension",IF($D$7=LEFT($D$3,LEN($D$3)-3)&amp;"ī",LEFT($D$3,LEN($D$3)-2)&amp;"ī",$D$7),$D$7)</f>
        <v>hominis</v>
      </c>
      <c r="B8" s="51"/>
      <c r="C8" s="7" t="s">
        <v>138</v>
      </c>
      <c r="D8" s="4" t="str">
        <f>IF(OR($D$3="humus",$D$3="domus",$D$3="rūs"),LEFT($D$7,LEN($D$7)-IF($D$7="rūrī",1,2))&amp;"ī",IF(OR($A$2="First Declension",$A$2="Second Declension"),$D$7,$D$5))</f>
        <v>homine</v>
      </c>
      <c r="E8" s="4" t="str">
        <f>$E$5</f>
        <v>hominibus</v>
      </c>
    </row>
    <row r="9" spans="1:7" ht="15.75">
      <c r="A9" s="49"/>
      <c r="B9" s="51"/>
      <c r="C9" s="7" t="s">
        <v>139</v>
      </c>
      <c r="D9" s="4" t="str">
        <f>IF(AND(RIGHT($D$3,2)="us",$A$4="M",$A$2="Second Declension"),LEFT($D$3,LEN($D$3)-2)&amp;"e",IF(RIGHT($D$3,3)="ius",LEFT($D$3,LEN($D$3)-3)&amp;"ī",$D$3))</f>
        <v>homō</v>
      </c>
      <c r="E9" s="4" t="str">
        <f>$E$3</f>
        <v>hominēs</v>
      </c>
      <c r="F9" s="2"/>
      <c r="G9" s="2"/>
    </row>
    <row r="10" spans="3:6" ht="15">
      <c r="C10" s="2"/>
      <c r="D10" s="2"/>
      <c r="E10" s="2"/>
      <c r="F10" s="2"/>
    </row>
    <row r="16" ht="15">
      <c r="E16" s="2"/>
    </row>
    <row r="17" ht="15">
      <c r="C17" s="2"/>
    </row>
  </sheetData>
  <mergeCells count="5">
    <mergeCell ref="A8:A9"/>
    <mergeCell ref="D1:E1"/>
    <mergeCell ref="B3:B9"/>
    <mergeCell ref="B1:C1"/>
    <mergeCell ref="B2:C2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I15"/>
  <sheetViews>
    <sheetView workbookViewId="0" topLeftCell="A1">
      <selection activeCell="C3" sqref="C3"/>
    </sheetView>
  </sheetViews>
  <sheetFormatPr defaultColWidth="9.140625" defaultRowHeight="12.75"/>
  <cols>
    <col min="1" max="1" width="23.28125" style="1" customWidth="1"/>
    <col min="2" max="2" width="3.7109375" style="1" customWidth="1"/>
    <col min="3" max="3" width="26.28125" style="1" bestFit="1" customWidth="1"/>
    <col min="4" max="5" width="22.28125" style="1" bestFit="1" customWidth="1"/>
    <col min="6" max="6" width="20.7109375" style="1" customWidth="1"/>
    <col min="7" max="8" width="23.28125" style="1" bestFit="1" customWidth="1"/>
    <col min="9" max="9" width="22.7109375" style="1" bestFit="1" customWidth="1"/>
    <col min="10" max="16384" width="9.140625" style="1" customWidth="1"/>
  </cols>
  <sheetData>
    <row r="1" spans="1:9" ht="15.75" customHeight="1">
      <c r="A1" s="57" t="s">
        <v>119</v>
      </c>
      <c r="B1" s="58"/>
      <c r="C1" s="14" t="s">
        <v>141</v>
      </c>
      <c r="D1" s="56" t="s">
        <v>118</v>
      </c>
      <c r="E1" s="50"/>
      <c r="F1" s="50"/>
      <c r="G1" s="50"/>
      <c r="H1" s="50"/>
      <c r="I1" s="50"/>
    </row>
    <row r="2" spans="1:9" ht="15.75">
      <c r="A2" s="59" t="str">
        <f>IF(OR($D$4="quī",$D$4="quis",$D$4="ūllus",$D$4="nūllus",$D$4="uter",$D$4="uterque",$D$4="neuter",$D$4="sōlus",$D$4="tōtus",$D$4="alius",$D$4="alter",$D$4="hic",$D$4="iste",$D$4="ille",$D$4="is",$D$4="ipse",$D$4="īdem",$D$4="ūnus",$D$4="duō",$D$4="ambō",$D$4="trēs",$D$4="mīlle"),"Irregular Declension",IF(AND(RIGHT($A$6,1)="a",RIGHT($A$7,2)="um"),"First/Second Declension","Third Declension"))</f>
        <v>Third Declension</v>
      </c>
      <c r="B2" s="60"/>
      <c r="C2" s="4" t="str">
        <f>IF($A$2="Third Declension",IF(AND(RIGHT($A$6,2)="is",$A$7=""),"One Termination",IF(NOT($A$7=""),"Three Terminations","Two Terminations")),"Not Third-Declension")</f>
        <v>One Termination</v>
      </c>
      <c r="D2" s="54" t="str">
        <f>IF($D$4="duo","Dual","Singular")</f>
        <v>Singular</v>
      </c>
      <c r="E2" s="55"/>
      <c r="F2" s="55"/>
      <c r="G2" s="55" t="s">
        <v>6</v>
      </c>
      <c r="H2" s="55"/>
      <c r="I2" s="55"/>
    </row>
    <row r="3" spans="1:9" ht="15.75">
      <c r="A3" s="61" t="s">
        <v>140</v>
      </c>
      <c r="B3" s="58"/>
      <c r="C3" s="15" t="str">
        <f>IF($A$2="Third Declension",IF(OR(AND(RIGHT(D4,3)="ior",RIGHT(E4,3)="ior",RIGHT(F4,3)="ius"),D8="dīvitis",D8="veteris",D8="caelibis",D8="opis",D8="inopis",D8="pauperis",D8="memoris"),"Consonant Stem","i-Stem"),"Not Third Declension")</f>
        <v>i-Stem</v>
      </c>
      <c r="D3" s="10" t="s">
        <v>108</v>
      </c>
      <c r="E3" s="7" t="s">
        <v>0</v>
      </c>
      <c r="F3" s="7" t="s">
        <v>107</v>
      </c>
      <c r="G3" s="7" t="s">
        <v>108</v>
      </c>
      <c r="H3" s="7" t="s">
        <v>0</v>
      </c>
      <c r="I3" s="7" t="s">
        <v>107</v>
      </c>
    </row>
    <row r="4" spans="1:9" ht="15.75" customHeight="1">
      <c r="A4" s="18" t="s">
        <v>142</v>
      </c>
      <c r="B4" s="51" t="s">
        <v>117</v>
      </c>
      <c r="C4" s="11" t="s">
        <v>1</v>
      </c>
      <c r="D4" s="12" t="str">
        <f>IF(OR($A$5="duo",$A$5="trēs",$A$5="ambō"),"N/A",IF(OR($A$5="ūnus",$A$5="duō",$A$5="trēs",$A$5="mīlle",$A$5="ambō"),Numbers!B5,$A$5))</f>
        <v>sapiēns</v>
      </c>
      <c r="E4" s="12" t="str">
        <f>IF(OR($A$5="duo",$A$5="trēs",$A$5="ambō"),"N/A",IF($A$2="Third Declension",IF($C$2="Three Terminations",$A$6,$A$5),$A$6))</f>
        <v>sapiēns</v>
      </c>
      <c r="F4" s="12" t="str">
        <f>IF(OR($A$5="duo",$A$5="trēs",$A$5="ambō"),"N/A",IF($A$2="Third Declension",IF($C$2="Three Terminations",$A$7,IF($C$2="Two Terminations",$A$6,$A$5)),$A$7))</f>
        <v>sapiēns</v>
      </c>
      <c r="G4" s="4" t="str">
        <f>IF(OR(LEFT($D$4,3)="quī",LEFT($D$4,4)="quis",RIGHT($D$4,3)="quī",RIGHT($D$4,4)="quis"),'qui &amp; quis Compounds 2'!E5,IF(OR($A$5="ūnus",$A$5="duo",$A$5="trēs",$A$5="mīlle",$A$5="ambō"),Numbers!E5,IF($D$4="uterque",'Adjective Pronouns'!E5&amp;"que",IF(OR($D$4="quī",$D$4="quis",$D$4="ūllus",$D$4="nūllus",$D$4="uter",$D$4="neuter",$D$4="sōlus",$D$4="tōtus",$D$4="alius",$D$4="alter",$D$4="īdem",$D$4="hic",$D$4="iste",$D$4="ille",$D$4="is",$D$4="ipse",$D$4="plūs"),'Adjective Pronouns'!E5,Adjectives!E5))))</f>
        <v>sapientēs</v>
      </c>
      <c r="H4" s="4" t="str">
        <f>IF(OR(LEFT($D$4,3)="quī",LEFT($D$4,4)="quis",RIGHT($D$4,3)="quī",RIGHT($D$4,4)="quis"),'qui &amp; quis Compounds 2'!F5,IF(OR($A$5="ūnus",$A$5="duo",$A$5="trēs",$A$5="mīlle",$A$5="ambō"),Numbers!F5,IF($D$4="uterque",'Adjective Pronouns'!F5&amp;"que",IF(OR($D$4="quī",$D$4="quis",$D$4="ūllus",$D$4="nūllus",$D$4="uter",$D$4="neuter",$D$4="sōlus",$D$4="tōtus",$D$4="alius",$D$4="alter",$D$4="īdem",$D$4="hic",$D$4="iste",$D$4="ille",$D$4="is",$D$4="ipse",$D$4="plūs"),'Adjective Pronouns'!F5,Adjectives!F5))))</f>
        <v>sapientēs</v>
      </c>
      <c r="I4" s="4" t="str">
        <f>IF(OR(LEFT($D$4,3)="quī",LEFT($D$4,4)="quis",RIGHT($D$4,3)="quī",RIGHT($D$4,4)="quis"),'qui &amp; quis Compounds 2'!G5,IF(OR($A$5="ūnus",$A$5="duo",$A$5="trēs",$A$5="mīlle",$A$5="ambō"),Numbers!G5,IF($D$4="uterque",'Adjective Pronouns'!G5&amp;"que",IF(OR($D$4="quī",$D$4="quis",$D$4="ūllus",$D$4="nūllus",$D$4="uter",$D$4="neuter",$D$4="sōlus",$D$4="tōtus",$D$4="alius",$D$4="alter",$D$4="īdem",$D$4="hic",$D$4="iste",$D$4="ille",$D$4="is",$D$4="ipse",$D$4="plūs"),'Adjective Pronouns'!G5,Adjectives!G5))))</f>
        <v>sapientia</v>
      </c>
    </row>
    <row r="5" spans="1:9" ht="15.75">
      <c r="A5" s="19" t="str">
        <f>Magister!I2</f>
        <v>sapiēns</v>
      </c>
      <c r="B5" s="51"/>
      <c r="C5" s="7" t="s">
        <v>2</v>
      </c>
      <c r="D5" s="4" t="str">
        <f>IF(OR(LEFT($D$4,3)="quī",LEFT($D$4,4)="quis",RIGHT($D$4,3)="quī",RIGHT($D$4,4)="quis"),'qui &amp; quis Compounds 2'!B6,IF(OR($A$5="ūnus",$A$5="duo",$A$5="trēs",$A$5="mīlle",$A$5="ambō"),Numbers!B6,IF($D$4="uterque",'Adjective Pronouns'!B6&amp;"que",IF(OR($D$4="ūllus",$D$4="nūllus",$D$4="uter",$D$4="neuter",$D$4="sōlus",$D$4="tōtus",$D$4="alius",$D$4="alter",$D$4="īdem",$D$4="hic",$D$4="iste",$D$4="ille",$D$4="is",$D$4="ipse",$D$4="plūs"),'Adjective Pronouns'!B6,Adjectives!B6))))</f>
        <v>sapientem</v>
      </c>
      <c r="E5" s="4" t="str">
        <f>IF(OR(LEFT($D$4,3)="quī",LEFT($D$4,4)="quis",RIGHT($D$4,3)="quī",RIGHT($D$4,4)="quis"),'qui &amp; quis Compounds 2'!C6,IF(OR($A$5="duo",$A$5="trēs",$A$5="ambō"),"N/A",IF(OR($A$5="ūnus",$A$5="mīlle"),Numbers!C6,IF($D$4="uterque",'Adjective Pronouns'!C6&amp;"que",IF(OR($D$4="quī",$D$4="quis",$D$4="ūllus",$D$4="nūllus",$D$4="uter",$D$4="neuter",$D$4="sōlus",$D$4="tōtus",$D$4="alius",$D$4="alter",$D$4="īdem",$D$4="hic",$D$4="iste",$D$4="ille",$D$4="is",$D$4="ipse",$D$4="plūs"),'Adjective Pronouns'!C6,Adjectives!C6)))))</f>
        <v>sapientem</v>
      </c>
      <c r="F5" s="4" t="str">
        <f>$F$4</f>
        <v>sapiēns</v>
      </c>
      <c r="G5" s="4" t="str">
        <f>IF(OR(LEFT($D$4,3)="quī",LEFT($D$4,4)="quis",RIGHT($D$4,3)="quī",RIGHT($D$4,4)="quis"),'qui &amp; quis Compounds 2'!E6,IF(OR($A$5="ūnus",$A$5="duo",$A$5="trēs",$A$5="mīlle",$A$5="ambō"),Numbers!E6,IF($D$4="uterque",'Adjective Pronouns'!E6&amp;"que",IF(OR($D$4="quī",$D$4="quis",$D$4="ūllus",$D$4="nūllus",$D$4="uter",$D$4="neuter",$D$4="sōlus",$D$4="tōtus",$D$4="alius",$D$4="alter",$D$4="īdem",$D$4="hic",$D$4="iste",$D$4="ille",$D$4="is",$D$4="ipse",$D$4="plūs"),'Adjective Pronouns'!E6,Adjectives!E6))))</f>
        <v>sapientēs</v>
      </c>
      <c r="H5" s="4" t="str">
        <f>IF(OR(LEFT($D$4,3)="quī",LEFT($D$4,4)="quis",RIGHT($D$4,3)="quī",RIGHT($D$4,4)="quis"),'qui &amp; quis Compounds 2'!F6,IF(OR($A$5="ūnus",$A$5="duo",$A$5="trēs",$A$5="mīlle",$A$5="ambō"),Numbers!F6,IF($D$4="uterque",'Adjective Pronouns'!F6&amp;"que",IF(OR($D$4="quī",$D$4="quis",$D$4="ūllus",$D$4="nūllus",$D$4="uter",$D$4="neuter",$D$4="sōlus",$D$4="tōtus",$D$4="alius",$D$4="alter",$D$4="īdem",$D$4="hic",$D$4="iste",$D$4="ille",$D$4="is",$D$4="ipse",$D$4="plūs"),'Adjective Pronouns'!F6,Adjectives!F6))))</f>
        <v>sapientēs</v>
      </c>
      <c r="I5" s="4" t="str">
        <f>I4</f>
        <v>sapientia</v>
      </c>
    </row>
    <row r="6" spans="1:9" ht="15.75">
      <c r="A6" s="19" t="str">
        <f>IF($A$5="mīlle",$A$5,IF(AND(Magister!I2="quis",Magister!J2="quod"),Magister!I2,Magister!J2))</f>
        <v>sapientis</v>
      </c>
      <c r="B6" s="51"/>
      <c r="C6" s="7" t="s">
        <v>3</v>
      </c>
      <c r="D6" s="4" t="str">
        <f>IF(OR(LEFT($D$4,3)="quī",LEFT($D$4,4)="quis",RIGHT($D$4,3)="quī",RIGHT($D$4,4)="quis"),'qui &amp; quis Compounds 2'!B7,IF(OR($A$5="ūnus",$A$5="duo",$A$5="trēs",$A$5="mīlle",$A$5="ambō"),Numbers!B7,IF($D$4="uterque",'Adjective Pronouns'!B7&amp;"que",IF(OR($D$4="quī",$D$4="quis",$D$4="ūllus",$D$4="nūllus",$D$4="uter",$D$4="neuter",$D$4="sōlus",$D$4="tōtus",$D$4="alius",$D$4="alter",$D$4="īdem",$D$4="hic",$D$4="iste",$D$4="ille",$D$4="is",$D$4="ipse",$D$4="plūs"),'Adjective Pronouns'!B7,Adjectives!B7))))</f>
        <v>sapientī</v>
      </c>
      <c r="E6" s="4" t="str">
        <f>IF(OR(LEFT($D$4,3)="quī",LEFT($D$4,4)="quis",RIGHT($D$4,3)="quī",RIGHT($D$4,4)="quis"),'qui &amp; quis Compounds 2'!C7,IF(OR($A$5="duo",$A$5="trēs",$A$5="ambō"),"N/A",IF(OR($A$5="ūnus",$A$5="mīlle"),Numbers!C7,IF($D$4="uterque",'Adjective Pronouns'!C7&amp;"que",IF(OR($D$4="quī",$D$4="quis",$D$4="ūllus",$D$4="nūllus",$D$4="uter",$D$4="neuter",$D$4="sōlus",$D$4="tōtus",$D$4="alius",$D$4="alter",$D$4="īdem",$D$4="hic",$D$4="iste",$D$4="ille",$D$4="is",$D$4="ipse",$D$4="plūs"),'Adjective Pronouns'!C7,Adjectives!C7)))))</f>
        <v>sapientī</v>
      </c>
      <c r="F6" s="4" t="str">
        <f>IF(OR(LEFT($D$4,3)="quī",LEFT($D$4,4)="quis",RIGHT($D$4,3)="quī",RIGHT($D$4,4)="quis"),'qui &amp; quis Compounds 2'!D7,IF(OR($A$5="duo",$A$5="trēs",$A$5="ambō"),"N/A",IF(OR($A$5="ūnus",$A$5="mīlle"),Numbers!D7,IF($D$4="uterque",'Adjective Pronouns'!D7&amp;"que",IF(OR($D$4="quī",$D$4="quis",$D$4="ūllus",$D$4="nūllus",$D$4="uter",$D$4="neuter",$D$4="sōlus",$D$4="tōtus",$D$4="alius",$D$4="alter",$D$4="īdem",$D$4="hic",$D$4="iste",$D$4="ille",$D$4="is",$D$4="ipse",$D$4="plūs"),'Adjective Pronouns'!D7,Adjectives!D7)))))</f>
        <v>sapientī</v>
      </c>
      <c r="G6" s="4" t="str">
        <f>IF(OR(LEFT($D$4,3)="quī",LEFT($D$4,4)="quis",RIGHT($D$4,3)="quī",RIGHT($D$4,4)="quis"),'qui &amp; quis Compounds 2'!E7,IF(OR($A$5="ūnus",$A$5="duo",$A$5="trēs",$A$5="mīlle",$A$5="ambō"),Numbers!E7,IF($D$4="uterque",'Adjective Pronouns'!E7&amp;"que",IF(OR($D$4="quī",$D$4="quis",$D$4="ūllus",$D$4="nūllus",$D$4="uter",$D$4="neuter",$D$4="sōlus",$D$4="tōtus",$D$4="alius",$D$4="alter",$D$4="īdem",$D$4="hic",$D$4="iste",$D$4="ille",$D$4="is",$D$4="ipse",$D$4="plūs"),'Adjective Pronouns'!E7,Adjectives!E7))))</f>
        <v>sapientibus</v>
      </c>
      <c r="H6" s="4" t="str">
        <f>IF(OR(LEFT($D$4,3)="quī",LEFT($D$4,4)="quis",RIGHT($D$4,3)="quī",RIGHT($D$4,4)="quis"),'qui &amp; quis Compounds 2'!F7,IF(OR($A$5="ūnus",$A$5="duo",$A$5="trēs",$A$5="mīlle",$A$5="ambō"),Numbers!F7,IF($D$4="uterque",'Adjective Pronouns'!F7&amp;"que",IF(OR($D$4="quī",$D$4="quis",$D$4="ūllus",$D$4="nūllus",$D$4="uter",$D$4="neuter",$D$4="sōlus",$D$4="tōtus",$D$4="alius",$D$4="alter",$D$4="īdem",$D$4="hic",$D$4="iste",$D$4="ille",$D$4="is",$D$4="ipse",$D$4="plūs"),'Adjective Pronouns'!F7,Adjectives!F7))))</f>
        <v>sapientibus</v>
      </c>
      <c r="I6" s="4" t="str">
        <f>IF(OR(LEFT($D$4,3)="quī",LEFT($D$4,4)="quis",RIGHT($D$4,3)="quī",RIGHT($D$4,4)="quis"),'qui &amp; quis Compounds 2'!G7,IF(OR($A$5="ūnus",$A$5="duo",$A$5="trēs",$A$5="mīlle",$A$5="ambō"),Numbers!G7,IF($D$4="uterque",'Adjective Pronouns'!G7&amp;"que",IF(OR($D$4="quī",$D$4="quis",$D$4="ūllus",$D$4="nūllus",$D$4="uter",$D$4="neuter",$D$4="sōlus",$D$4="tōtus",$D$4="alius",$D$4="alter",$D$4="īdem",$D$4="hic",$D$4="iste",$D$4="ille",$D$4="is",$D$4="ipse",$D$4="plūs"),'Adjective Pronouns'!G7,Adjectives!G7))))</f>
        <v>sapientibus</v>
      </c>
    </row>
    <row r="7" spans="1:9" ht="15.75">
      <c r="A7" s="19">
        <f>IF($A$6="mīlle",$A$6,IF(AND(Magister!I2="quis",Magister!J2="quod"),Magister!J2,IF(Magister!K2="","",Magister!K2)))</f>
      </c>
      <c r="B7" s="51"/>
      <c r="C7" s="7" t="s">
        <v>4</v>
      </c>
      <c r="D7" s="4" t="str">
        <f>IF(OR(LEFT($D$4,3)="quī",LEFT($D$4,4)="quis",RIGHT($D$4,3)="quī",RIGHT($D$4,4)="quis"),'qui &amp; quis Compounds 2'!B8,IF(OR($A$5="ūnus",$A$5="duo",$A$5="trēs",$A$5="mīlle",$A$5="ambō"),Numbers!B8,IF($D$4="uterque",'Adjective Pronouns'!B8&amp;"que",IF(OR($D$4="quī",$D$4="quis",$D$4="ūllus",$D$4="nūllus",$D$4="uter",$D$4="neuter",$D$4="sōlus",$D$4="tōtus",$D$4="alius",$D$4="alter",$D$4="īdem",$D$4="hic",$D$4="iste",$D$4="ille",$D$4="is",$D$4="ipse"),'Adjective Pronouns'!B8,Adjectives!B8))))</f>
        <v>sapientī</v>
      </c>
      <c r="E7" s="4" t="str">
        <f>IF(OR(LEFT($D$4,3)="quī",LEFT($D$4,4)="quis",RIGHT($D$4,3)="quī",RIGHT($D$4,4)="quis"),'qui &amp; quis Compounds 2'!C8,IF(OR($A$5="duo",$A$5="trēs",$A$5="ambō"),"N/A",IF(OR($A$5="ūnus",$A$5="mīlle"),Numbers!C8,IF($D$4="uterque",'Adjective Pronouns'!C8&amp;"que",IF(OR($D$4="quī",$D$4="quis",$D$4="ūllus",$D$4="nūllus",$D$4="uter",$D$4="neuter",$D$4="sōlus",$D$4="tōtus",$D$4="alius",$D$4="alter",$D$4="īdem",$D$4="hic",$D$4="iste",$D$4="ille",$D$4="is",$D$4="ipse"),'Adjective Pronouns'!C8,Adjectives!C8)))))</f>
        <v>sapientī</v>
      </c>
      <c r="F7" s="4" t="str">
        <f>IF(OR(LEFT($D$4,3)="quī",LEFT($D$4,4)="quis",RIGHT($D$4,3)="quī",RIGHT($D$4,4)="quis"),'qui &amp; quis Compounds 2'!D8,IF(OR($A$5="duo",$A$5="trēs",$A$5="ambō"),"N/A",IF(OR($A$5="ūnus",$A$5="mīlle"),Numbers!D8,IF($D$4="uterque",'Adjective Pronouns'!D8&amp;"que",IF(OR($D$4="quī",$D$4="quis",$D$4="ūllus",$D$4="nūllus",$D$4="uter",$D$4="neuter",$D$4="sōlus",$D$4="tōtus",$D$4="alius",$D$4="alter",$D$4="īdem",$D$4="hic",$D$4="iste",$D$4="ille",$D$4="is",$D$4="ipse"),'Adjective Pronouns'!D8,Adjectives!D8)))))</f>
        <v>sapientī</v>
      </c>
      <c r="G7" s="4" t="str">
        <f>IF(OR(LEFT($D$4,3)="quī",LEFT($D$4,4)="quis",RIGHT($D$4,3)="quī",RIGHT($D$4,4)="quis"),'qui &amp; quis Compounds 2'!E8,IF(OR($A$5="ūnus",$A$5="duo",$A$5="trēs",$A$5="mīlle",$A$5="ambō"),Numbers!E8,IF($D$4="uterque",'Adjective Pronouns'!E8&amp;"que",IF(OR($D$4="quī",$D$4="quis",$D$4="ūllus",$D$4="nūllus",$D$4="uter",$D$4="neuter",$D$4="sōlus",$D$4="tōtus",$D$4="alius",$D$4="alter",$D$4="īdem",$D$4="hic",$D$4="iste",$D$4="ille",$D$4="is",$D$4="ipse",$D$4="plūs"),'Adjective Pronouns'!E8,Adjectives!E8))))</f>
        <v>sapientibus</v>
      </c>
      <c r="H7" s="4" t="str">
        <f>IF(OR(LEFT($D$4,3)="quī",LEFT($D$4,4)="quis",RIGHT($D$4,3)="quī",RIGHT($D$4,4)="quis"),'qui &amp; quis Compounds 2'!F8,IF(OR($A$5="ūnus",$A$5="duo",$A$5="trēs",$A$5="mīlle",$A$5="ambō"),Numbers!F8,IF($D$4="uterque",'Adjective Pronouns'!F8&amp;"que",IF(OR($D$4="quī",$D$4="quis",$D$4="ūllus",$D$4="nūllus",$D$4="uter",$D$4="neuter",$D$4="sōlus",$D$4="tōtus",$D$4="alius",$D$4="alter",$D$4="īdem",$D$4="hic",$D$4="iste",$D$4="ille",$D$4="is",$D$4="ipse",$D$4="plūs"),'Adjective Pronouns'!F8,Adjectives!F8))))</f>
        <v>sapientibus</v>
      </c>
      <c r="I7" s="4" t="str">
        <f>IF(OR(LEFT($D$4,3)="quī",LEFT($D$4,4)="quis",RIGHT($D$4,3)="quī",RIGHT($D$4,4)="quis"),'qui &amp; quis Compounds 2'!G8,IF(OR($A$5="ūnus",$A$5="duo",$A$5="trēs",$A$5="mīlle",$A$5="ambō"),Numbers!G8,IF($D$4="uterque",'Adjective Pronouns'!G8&amp;"que",IF(OR($D$4="quī",$D$4="quis",$D$4="ūllus",$D$4="nūllus",$D$4="uter",$D$4="neuter",$D$4="sōlus",$D$4="tōtus",$D$4="alius",$D$4="alter",$D$4="īdem",$D$4="hic",$D$4="iste",$D$4="ille",$D$4="is",$D$4="ipse",$D$4="plūs"),'Adjective Pronouns'!G8,Adjectives!G8))))</f>
        <v>sapientibus</v>
      </c>
    </row>
    <row r="8" spans="1:9" ht="15.75">
      <c r="A8" s="21">
        <f>IF(AND(RIGHT($A$5,2)="or",RIGHT($A$6,2)="us",$C$2="Two Terminations"),"Comparative","")</f>
      </c>
      <c r="B8" s="51"/>
      <c r="C8" s="7" t="s">
        <v>5</v>
      </c>
      <c r="D8" s="4" t="str">
        <f>IF(OR(LEFT($D$4,3)="quī",LEFT($D$4,4)="quis",RIGHT($D$4,3)="quī",RIGHT($D$4,4)="quis"),'qui &amp; quis Compounds 2'!B9,IF(OR($A$5="duo",$A$5="trēs",$A$5="ambō"),"N/A",IF(OR($A$5="ūnus",$A$5="mīlle"),Numbers!B9,IF($D$4="uterque",'Adjective Pronouns'!B9&amp;"que",IF(OR($D$4="quī",$D$4="quis",$D$4="ūllus",$D$4="nūllus",$D$4="uter",$D$4="neuter",$D$4="sōlus",$D$4="tōtus",$D$4="alius",$D$4="alter",$D$4="īdem",$D$4="hic",$D$4="iste",$D$4="ille",$D$4="is",$D$4="ipse",$D$4="plūs"),'Adjective Pronouns'!B9,$A$10)))))</f>
        <v>sapientis</v>
      </c>
      <c r="E8" s="4" t="str">
        <f>IF(OR(LEFT($D$4,3)="quī",LEFT($D$4,4)="quis",RIGHT($D$4,3)="quī",RIGHT($D$4,4)="quis"),'qui &amp; quis Compounds 2'!C9,IF(OR($A$5="duo",$A$5="trēs",$A$5="ambō"),"N/A",IF(OR($A$5="ūnus",$A$5="mīlle"),Numbers!C9,IF($D$4="uterque",'Adjective Pronouns'!C9&amp;"que",IF(OR($D$4="quī",$D$4="quis",$D$4="ūllus",$D$4="nūllus",$D$4="uter",$D$4="neuter",$D$4="sōlus",$D$4="tōtus",$D$4="alius",$D$4="alter",$D$4="īdem",$D$4="hic",$D$4="iste",$D$4="ille",$D$4="is",$D$4="ipse",$D$4="plūs"),'Adjective Pronouns'!C9,Adjectives!C9)))))</f>
        <v>sapientis</v>
      </c>
      <c r="F8" s="4" t="str">
        <f>IF(OR(LEFT($D$4,3)="quī",LEFT($D$4,4)="quis",RIGHT($D$4,3)="quī",RIGHT($D$4,4)="quis"),'qui &amp; quis Compounds 2'!D9,IF(OR($A$5="duo",$A$5="trēs",$A$5="ambō"),"N/A",IF(OR($A$5="ūnus",$A$5="mīlle"),Numbers!D9,IF($D$4="uterque",'Adjective Pronouns'!D9&amp;"que",IF(OR($D$4="quī",$D$4="quis",$D$4="ūllus",$D$4="nūllus",$D$4="uter",$D$4="neuter",$D$4="sōlus",$D$4="tōtus",$D$4="alius",$D$4="alter",$D$4="īdem",$D$4="hic",$D$4="iste",$D$4="ille",$D$4="is",$D$4="ipse",$D$4="plūs"),'Adjective Pronouns'!D9,IF($D$4="duo",duo!D9,Adjectives!D9))))))</f>
        <v>sapientis</v>
      </c>
      <c r="G8" s="4" t="str">
        <f>IF(OR(LEFT($D$4,3)="quī",LEFT($D$4,4)="quis",RIGHT($D$4,3)="quī",RIGHT($D$4,4)="quis"),'qui &amp; quis Compounds 2'!E9,IF(OR($A$5="ūnus",$A$5="duo",$A$5="trēs",$A$5="mīlle",$A$5="ambō"),Numbers!E9,IF($D$4="uterque",'Adjective Pronouns'!E9&amp;"que",IF(OR($D$4="quī",$D$4="quis",$D$4="ūllus",$D$4="nūllus",$D$4="uter",$D$4="neuter",$D$4="sōlus",$D$4="tōtus",$D$4="alius",$D$4="alter",$D$4="īdem",$D$4="hic",$D$4="iste",$D$4="ille",$D$4="is",$D$4="ipse",$D$4="plūs"),'Adjective Pronouns'!E9,Adjectives!E9))))</f>
        <v>sapientium</v>
      </c>
      <c r="H8" s="4" t="str">
        <f>IF(OR(LEFT($D$4,3)="quī",LEFT($D$4,4)="quis",RIGHT($D$4,3)="quī",RIGHT($D$4,4)="quis"),'qui &amp; quis Compounds 2'!F9,IF(OR($A$5="ūnus",$A$5="duo",$A$5="trēs",$A$5="mīlle",$A$5="ambō"),Numbers!F9,IF($D$4="uterque",'Adjective Pronouns'!F9&amp;"que",IF(OR($D$4="quī",$D$4="quis",$D$4="ūllus",$D$4="nūllus",$D$4="uter",$D$4="neuter",$D$4="sōlus",$D$4="tōtus",$D$4="alius",$D$4="alter",$D$4="īdem",$D$4="hic",$D$4="iste",$D$4="ille",$D$4="is",$D$4="ipse",$D$4="plūs"),'Adjective Pronouns'!F9,Adjectives!F9))))</f>
        <v>sapientium</v>
      </c>
      <c r="I8" s="4" t="str">
        <f>IF(OR(LEFT($D$4,3)="quī",LEFT($D$4,4)="quis",RIGHT($D$4,3)="quī",RIGHT($D$4,4)="quis"),'qui &amp; quis Compounds 2'!G9,IF(OR($A$5="ūnus",$A$5="duo",$A$5="trēs",$A$5="mīlle",$A$5="ambō"),Numbers!G9,IF($D$4="uterque",'Adjective Pronouns'!G9&amp;"que",IF(OR($D$4="quī",$D$4="quis",$D$4="ūllus",$D$4="nūllus",$D$4="uter",$D$4="neuter",$D$4="sōlus",$D$4="tōtus",$D$4="alius",$D$4="alter",$D$4="īdem",$D$4="hic",$D$4="iste",$D$4="ille",$D$4="is",$D$4="ipse",$D$4="plūs"),'Adjective Pronouns'!G9,Adjectives!G9))))</f>
        <v>sapientium</v>
      </c>
    </row>
    <row r="9" spans="1:9" ht="15.75">
      <c r="A9" s="22" t="str">
        <f>IF(OR($D$4="unus",$D$4="duo",$D$4="trēs",$D$4="mīlle",$D$4="ambō"),Numbers!B9,IF($D$4="uterque",'Adjective Pronouns'!B9&amp;"que",IF(OR($D$4="quī",$D$4="quis",$D$4="ūllus",$D$4="nūllus",$D$4="uter",$D$4="neuter",$D$4="sōlus",$D$4="tōtus",$D$4="alius",$D$4="alter",$D$4="īdem",$D$4="hic",$D$4="iste",$D$4="ille",$D$4="is",$D$4="ipse"),'Adjective Pronouns'!B9,Adjectives!B9)))</f>
        <v>sapientis</v>
      </c>
      <c r="B9" s="51"/>
      <c r="C9" s="7" t="s">
        <v>138</v>
      </c>
      <c r="D9" s="4" t="str">
        <f>IF($A$2="First/Second Declension",$D$8,$D$6)</f>
        <v>sapientī</v>
      </c>
      <c r="E9" s="4" t="str">
        <f>IF($A$2="First/Second Declension",$E$8,$E$6)</f>
        <v>sapientī</v>
      </c>
      <c r="F9" s="4" t="str">
        <f>IF($A$2="First/Second Declension",$F$8,$F$6)</f>
        <v>sapientī</v>
      </c>
      <c r="G9" s="4" t="str">
        <f>G6</f>
        <v>sapientibus</v>
      </c>
      <c r="H9" s="4" t="str">
        <f>H6</f>
        <v>sapientibus</v>
      </c>
      <c r="I9" s="4" t="str">
        <f>I6</f>
        <v>sapientibus</v>
      </c>
    </row>
    <row r="10" spans="1:9" ht="15.75">
      <c r="A10" s="23" t="str">
        <f>IF($A$2="Third Declension",IF($C$2="One Termination",$A$6,IF($C$2="Two Terminations",LEFT($A$6,LEN($A$6)-IF($A$8="Comparative",2,1))&amp;IF($A$8="Comparative","oris","is"),$A$6)),LEFT($A$7,LEN($A$7)-2)&amp;"ī")</f>
        <v>sapientis</v>
      </c>
      <c r="B10" s="51"/>
      <c r="C10" s="7" t="s">
        <v>139</v>
      </c>
      <c r="D10" s="4" t="str">
        <f>IF(OR($A$5="duō",$A$5="trēs",$A$5="ambō"),"N/A",IF(AND($A$2="First/Second Declension",RIGHT($D$4,2)="us",NOT(RIGHT($D$4,3)="ius")),LEFT($D$4,LEN($D$4)-2)&amp;"e",IF(RIGHT($D$4,3)="ius",LEFT($D$4,LEN($D$4)-3)&amp;"ī",$D$4)))</f>
        <v>sapiēns</v>
      </c>
      <c r="E10" s="4" t="str">
        <f>IF(RIGHT($E$4,3)="ius",LEFT($E$4,LEN($E$4)-3)&amp;"ī",$E$4)</f>
        <v>sapiēns</v>
      </c>
      <c r="F10" s="4" t="str">
        <f>IF(RIGHT($F$4,3)="ius",LEFT($F$4,LEN($F$4)-3)&amp;"ī",$F$4)</f>
        <v>sapiēns</v>
      </c>
      <c r="G10" s="4" t="str">
        <f>G4</f>
        <v>sapientēs</v>
      </c>
      <c r="H10" s="4" t="str">
        <f>H4</f>
        <v>sapientēs</v>
      </c>
      <c r="I10" s="4" t="str">
        <f>I4</f>
        <v>sapientia</v>
      </c>
    </row>
    <row r="11" ht="15">
      <c r="E11" s="2"/>
    </row>
    <row r="12" ht="15">
      <c r="D12" s="2"/>
    </row>
    <row r="15" spans="3:6" ht="15">
      <c r="C15" s="2"/>
      <c r="D15" s="2"/>
      <c r="E15" s="2"/>
      <c r="F15" s="2"/>
    </row>
  </sheetData>
  <mergeCells count="7">
    <mergeCell ref="D2:F2"/>
    <mergeCell ref="G2:I2"/>
    <mergeCell ref="D1:I1"/>
    <mergeCell ref="B4:B10"/>
    <mergeCell ref="A1:B1"/>
    <mergeCell ref="A2:B2"/>
    <mergeCell ref="A3:B3"/>
  </mergeCells>
  <conditionalFormatting sqref="E4:F4">
    <cfRule type="cellIs" priority="1" dxfId="1" operator="equal" stopIfTrue="1">
      <formula>"trēs"</formula>
    </cfRule>
    <cfRule type="cellIs" priority="2" dxfId="1" operator="equal" stopIfTrue="1">
      <formula>"duō"</formula>
    </cfRule>
    <cfRule type="cellIs" priority="3" dxfId="1" operator="equal" stopIfTrue="1">
      <formula>"ambō"</formula>
    </cfRule>
  </conditionalFormatting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H15"/>
  <sheetViews>
    <sheetView workbookViewId="0" topLeftCell="A1">
      <selection activeCell="C28" sqref="C28"/>
    </sheetView>
  </sheetViews>
  <sheetFormatPr defaultColWidth="9.140625" defaultRowHeight="12.75"/>
  <cols>
    <col min="1" max="1" width="3.7109375" style="1" customWidth="1"/>
    <col min="2" max="2" width="13.7109375" style="1" bestFit="1" customWidth="1"/>
    <col min="3" max="4" width="22.28125" style="1" bestFit="1" customWidth="1"/>
    <col min="5" max="5" width="20.7109375" style="1" customWidth="1"/>
    <col min="6" max="7" width="23.28125" style="1" bestFit="1" customWidth="1"/>
    <col min="8" max="8" width="22.7109375" style="1" bestFit="1" customWidth="1"/>
    <col min="9" max="16384" width="9.140625" style="1" customWidth="1"/>
  </cols>
  <sheetData>
    <row r="1" spans="1:8" ht="15.75">
      <c r="A1" s="64"/>
      <c r="B1" s="65"/>
      <c r="C1" s="56" t="s">
        <v>118</v>
      </c>
      <c r="D1" s="50"/>
      <c r="E1" s="50"/>
      <c r="F1" s="50"/>
      <c r="G1" s="50"/>
      <c r="H1" s="50"/>
    </row>
    <row r="2" spans="1:8" ht="15.75">
      <c r="A2" s="66"/>
      <c r="B2" s="67"/>
      <c r="C2" s="54" t="s">
        <v>7</v>
      </c>
      <c r="D2" s="55"/>
      <c r="E2" s="55"/>
      <c r="F2" s="55" t="s">
        <v>6</v>
      </c>
      <c r="G2" s="55"/>
      <c r="H2" s="55"/>
    </row>
    <row r="3" spans="1:8" ht="15.75">
      <c r="A3" s="68"/>
      <c r="B3" s="69"/>
      <c r="C3" s="10" t="s">
        <v>108</v>
      </c>
      <c r="D3" s="7" t="s">
        <v>0</v>
      </c>
      <c r="E3" s="7" t="s">
        <v>107</v>
      </c>
      <c r="F3" s="7" t="s">
        <v>108</v>
      </c>
      <c r="G3" s="7" t="s">
        <v>0</v>
      </c>
      <c r="H3" s="7" t="s">
        <v>107</v>
      </c>
    </row>
    <row r="4" spans="1:8" ht="15.75" customHeight="1">
      <c r="A4" s="62" t="s">
        <v>117</v>
      </c>
      <c r="B4" s="11" t="s">
        <v>1</v>
      </c>
      <c r="C4" s="12" t="str">
        <f>Magister!C15</f>
        <v>is</v>
      </c>
      <c r="D4" s="4" t="str">
        <f>IF(Magister!E15="",Magister!C15,Magister!D15)</f>
        <v>ea</v>
      </c>
      <c r="E4" s="12" t="str">
        <f>IF(Magister!E15="",Magister!D15,Magister!E15)</f>
        <v>id</v>
      </c>
      <c r="F4" s="4" t="str">
        <f>IF($C$4="īdem",idem!E5,IF(OR($C$4="quī",$C$4="quis"),'qui &amp; quis'!E5,IF(OR(LEFT($C$4,3)="quī",LEFT($C$4,4)="quis",RIGHT($C$4,3)="quī",RIGHT($C$4,4)="quis"),'qui &amp; quis Compounds'!E5,Pronouns!E5)))</f>
        <v>eī</v>
      </c>
      <c r="G4" s="4" t="str">
        <f>IF($C$4="īdem",idem!F5,IF(OR($C$4="quī",$C$4="quis"),'qui &amp; quis'!F5,IF(OR(LEFT($C$4,3)="quī",LEFT($C$4,4)="quis",RIGHT($C$4,3)="quī",RIGHT($C$4,4)="quis"),'qui &amp; quis Compounds'!F5,Pronouns!F5)))</f>
        <v>eae</v>
      </c>
      <c r="H4" s="4" t="str">
        <f>IF($C$4="īdem",idem!G5,IF(OR($C$4="quī",$C$4="quis"),'qui &amp; quis'!G5,IF(OR(LEFT($C$4,3)="quī",LEFT($C$4,4)="quis",RIGHT($C$4,3)="quī",RIGHT($C$4,4)="quis"),'qui &amp; quis Compounds'!G5,Pronouns!G5)))</f>
        <v>ea</v>
      </c>
    </row>
    <row r="5" spans="1:8" ht="15.75">
      <c r="A5" s="63"/>
      <c r="B5" s="7" t="s">
        <v>2</v>
      </c>
      <c r="C5" s="4" t="str">
        <f>IF($C$4="īdem",idem!B6,IF(OR($C$4="quī",$C$4="quis"),'qui &amp; quis'!B6,IF(OR(LEFT($C$4,3)="quī",LEFT($C$4,4)="quis",RIGHT($C$4,3)="quī",RIGHT($C$4,4)="quis"),'qui &amp; quis Compounds'!B6,Pronouns!B6)))</f>
        <v>eum</v>
      </c>
      <c r="D5" s="4" t="str">
        <f>IF($C$4="īdem",idem!C6,IF(OR($C$4="quī",$C$4="quis"),'qui &amp; quis'!C6,IF(OR(LEFT($C$4,3)="quī",LEFT($C$4,4)="quis",RIGHT($C$4,3)="quī",RIGHT($C$4,4)="quis"),'qui &amp; quis Compounds'!C6,Pronouns!C6)))</f>
        <v>eam</v>
      </c>
      <c r="E5" s="4" t="str">
        <f>$E$4</f>
        <v>id</v>
      </c>
      <c r="F5" s="4" t="str">
        <f>IF($C$4="īdem",idem!E6,IF(OR($C$4="quī",$C$4="quis"),'qui &amp; quis'!E6,IF(OR(LEFT($C$4,3)="quī",LEFT($C$4,4)="quis",RIGHT($C$4,3)="quī",RIGHT($C$4,4)="quis"),'qui &amp; quis Compounds'!E6,Pronouns!E6)))</f>
        <v>eōs</v>
      </c>
      <c r="G5" s="4" t="str">
        <f>IF($C$4="īdem",idem!F6,IF(OR($C$4="quī",$C$4="quis"),'qui &amp; quis'!F6,IF(OR(LEFT($C$4,3)="quī",LEFT($C$4,4)="quis",RIGHT($C$4,3)="quī",RIGHT($C$4,4)="quis"),'qui &amp; quis Compounds'!F6,Pronouns!F6)))</f>
        <v>eās</v>
      </c>
      <c r="H5" s="4" t="str">
        <f>$H$4</f>
        <v>ea</v>
      </c>
    </row>
    <row r="6" spans="1:8" ht="15.75">
      <c r="A6" s="63"/>
      <c r="B6" s="7" t="s">
        <v>3</v>
      </c>
      <c r="C6" s="4" t="str">
        <f>IF($C$4="īdem",idem!B7,IF(OR($C$4="quī",$C$4="quis"),'qui &amp; quis'!B7,IF(OR(LEFT($C$4,3)="quī",LEFT($C$4,4)="quis",RIGHT($C$4,3)="quī",RIGHT($C$4,4)="quis"),'qui &amp; quis Compounds'!B7,Pronouns!B7)))</f>
        <v>eō</v>
      </c>
      <c r="D6" s="4" t="str">
        <f>IF($C$4="īdem",idem!C7,IF(OR($C$4="quī",$C$4="quis"),'qui &amp; quis'!C7,IF(OR(LEFT($C$4,3)="quī",LEFT($C$4,4)="quis",RIGHT($C$4,3)="quī",RIGHT($C$4,4)="quis"),'qui &amp; quis Compounds'!C7,Pronouns!C7)))</f>
        <v>eā</v>
      </c>
      <c r="E6" s="4" t="str">
        <f>IF($C$4="īdem",idem!D7,IF(OR($C$4="quī",$C$4="quis"),'qui &amp; quis'!D7,IF(OR(LEFT($C$4,3)="quī",LEFT($C$4,4)="quis",RIGHT($C$4,3)="quī",RIGHT($C$4,4)="quis"),'qui &amp; quis Compounds'!D7,Pronouns!D7)))</f>
        <v>eō</v>
      </c>
      <c r="F6" s="4" t="str">
        <f>IF($C$4="īdem",idem!E7,IF(OR($C$4="quī",$C$4="quis"),'qui &amp; quis'!E7,IF(OR(LEFT($C$4,3)="quī",LEFT($C$4,4)="quis",RIGHT($C$4,3)="quī",RIGHT($C$4,4)="quis"),'qui &amp; quis Compounds'!E7,Pronouns!E7)))</f>
        <v>eīs</v>
      </c>
      <c r="G6" s="4" t="str">
        <f>IF($C$4="īdem",idem!F7,IF(OR($C$4="quī",$C$4="quis"),'qui &amp; quis'!F7,IF(OR(LEFT($C$4,3)="quī",LEFT($C$4,4)="quis",RIGHT($C$4,3)="quī",RIGHT($C$4,4)="quis"),'qui &amp; quis Compounds'!F7,Pronouns!F7)))</f>
        <v>eīs</v>
      </c>
      <c r="H6" s="4" t="str">
        <f>IF($C$4="īdem",idem!G7,IF(OR($C$4="quī",$C$4="quis"),'qui &amp; quis'!G7,IF(OR(LEFT($C$4,3)="quī",LEFT($C$4,4)="quis",RIGHT($C$4,3)="quī",RIGHT($C$4,4)="quis"),'qui &amp; quis Compounds'!G7,Pronouns!G7)))</f>
        <v>eīs</v>
      </c>
    </row>
    <row r="7" spans="1:8" ht="15.75">
      <c r="A7" s="63"/>
      <c r="B7" s="7" t="s">
        <v>4</v>
      </c>
      <c r="C7" s="4" t="str">
        <f>IF($C$4="īdem",idem!B8,IF(OR($C$4="quī",$C$4="quis"),'qui &amp; quis'!B8,IF(OR(LEFT($C$4,3)="quī",LEFT($C$4,4)="quis",RIGHT($C$4,3)="quī",RIGHT($C$4,4)="quis"),'qui &amp; quis Compounds'!B8,Pronouns!B8)))</f>
        <v>eī</v>
      </c>
      <c r="D7" s="4" t="str">
        <f>IF($C$4="īdem",idem!C8,IF(OR($C$4="quī",$C$4="quis"),'qui &amp; quis'!C8,IF(OR(LEFT($C$4,3)="quī",LEFT($C$4,4)="quis",RIGHT($C$4,3)="quī",RIGHT($C$4,4)="quis"),'qui &amp; quis Compounds'!C8,Pronouns!C8)))</f>
        <v>eī</v>
      </c>
      <c r="E7" s="4" t="str">
        <f>IF($C$4="īdem",idem!D8,IF(OR($C$4="quī",$C$4="quis"),'qui &amp; quis'!D8,IF(OR(LEFT($C$4,3)="quī",LEFT($C$4,4)="quis",RIGHT($C$4,3)="quī",RIGHT($C$4,4)="quis"),'qui &amp; quis Compounds'!D8,Pronouns!D8)))</f>
        <v>eī</v>
      </c>
      <c r="F7" s="4" t="str">
        <f>IF($C$4="īdem",idem!E8,IF(OR($C$4="quī",$C$4="quis"),'qui &amp; quis'!E8,IF(OR(LEFT($C$4,3)="quī",LEFT($C$4,4)="quis",RIGHT($C$4,3)="quī",RIGHT($C$4,4)="quis"),'qui &amp; quis Compounds'!E8,Pronouns!E8)))</f>
        <v>eīs</v>
      </c>
      <c r="G7" s="4" t="str">
        <f>IF($C$4="īdem",idem!F8,IF(OR($C$4="quī",$C$4="quis"),'qui &amp; quis'!F8,IF(OR(LEFT($C$4,3)="quī",LEFT($C$4,4)="quis",RIGHT($C$4,3)="quī",RIGHT($C$4,4)="quis"),'qui &amp; quis Compounds'!F8,Pronouns!F8)))</f>
        <v>eīs</v>
      </c>
      <c r="H7" s="4" t="str">
        <f>IF($C$4="īdem",idem!G8,IF(OR($C$4="quī",$C$4="quis"),'qui &amp; quis'!G8,IF(OR(LEFT($C$4,3)="quī",LEFT($C$4,4)="quis",RIGHT($C$4,3)="quī",RIGHT($C$4,4)="quis"),'qui &amp; quis Compounds'!G8,Pronouns!G8)))</f>
        <v>eīs</v>
      </c>
    </row>
    <row r="8" spans="1:8" ht="15.75">
      <c r="A8" s="63"/>
      <c r="B8" s="7" t="s">
        <v>5</v>
      </c>
      <c r="C8" s="4" t="str">
        <f>IF($C$4="īdem",idem!B9,IF(OR($C$4="quī",$C$4="quis"),'qui &amp; quis'!B9,IF(OR(LEFT($C$4,3)="quī",LEFT($C$4,4)="quis",RIGHT($C$4,3)="quī",RIGHT($C$4,4)="quis"),'qui &amp; quis Compounds'!B9,Pronouns!B9)))</f>
        <v>eius</v>
      </c>
      <c r="D8" s="4" t="str">
        <f>IF($C$4="īdem",idem!C9,IF(OR($C$4="quī",$C$4="quis"),'qui &amp; quis'!C9,IF(OR(LEFT($C$4,3)="quī",LEFT($C$4,4)="quis",RIGHT($C$4,3)="quī",RIGHT($C$4,4)="quis"),'qui &amp; quis Compounds'!C9,Pronouns!C9)))</f>
        <v>eius</v>
      </c>
      <c r="E8" s="4" t="str">
        <f>IF($C$4="īdem",idem!D9,IF(OR($C$4="quī",$C$4="quis"),'qui &amp; quis'!D9,IF(OR(LEFT($C$4,3)="quī",LEFT($C$4,4)="quis",RIGHT($C$4,3)="quī",RIGHT($C$4,4)="quis"),'qui &amp; quis Compounds'!D9,Pronouns!D9)))</f>
        <v>eius</v>
      </c>
      <c r="F8" s="4" t="str">
        <f>IF($C$4="īdem",idem!E9,IF(OR($C$4="quī",$C$4="quis"),'qui &amp; quis'!E9,IF(OR(LEFT($C$4,3)="quī",LEFT($C$4,4)="quis",RIGHT($C$4,3)="quī",RIGHT($C$4,4)="quis"),'qui &amp; quis Compounds'!E9,Pronouns!E9)))</f>
        <v>eōrum</v>
      </c>
      <c r="G8" s="4" t="str">
        <f>IF($C$4="īdem",idem!F9,IF(OR($C$4="quī",$C$4="quis"),'qui &amp; quis'!F9,IF(OR(LEFT($C$4,3)="quī",LEFT($C$4,4)="quis",RIGHT($C$4,3)="quī",RIGHT($C$4,4)="quis"),'qui &amp; quis Compounds'!F9,Pronouns!F9)))</f>
        <v>eārum</v>
      </c>
      <c r="H8" s="4" t="str">
        <f>IF($C$4="īdem",idem!G9,IF(OR($C$4="quī",$C$4="quis"),'qui &amp; quis'!G9,IF(OR(LEFT($C$4,3)="quī",LEFT($C$4,4)="quis",RIGHT($C$4,3)="quī",RIGHT($C$4,4)="quis"),'qui &amp; quis Compounds'!G9,Pronouns!G9)))</f>
        <v>eōrum</v>
      </c>
    </row>
    <row r="9" spans="1:8" ht="15.75">
      <c r="A9" s="63"/>
      <c r="B9" s="7" t="s">
        <v>138</v>
      </c>
      <c r="C9" s="4" t="str">
        <f>$C$6</f>
        <v>eō</v>
      </c>
      <c r="D9" s="4" t="str">
        <f>$D$6</f>
        <v>eā</v>
      </c>
      <c r="E9" s="4" t="str">
        <f>$E$6</f>
        <v>eō</v>
      </c>
      <c r="F9" s="4" t="str">
        <f>F6</f>
        <v>eīs</v>
      </c>
      <c r="G9" s="4" t="str">
        <f>G6</f>
        <v>eīs</v>
      </c>
      <c r="H9" s="4" t="str">
        <f>H6</f>
        <v>eīs</v>
      </c>
    </row>
    <row r="10" spans="1:8" ht="15.75">
      <c r="A10" s="63"/>
      <c r="B10" s="7" t="s">
        <v>139</v>
      </c>
      <c r="C10" s="4" t="str">
        <f>IF(RIGHT($C$4,3)="ius",LEFT($C$4,LEN($C$4)-3)&amp;"ī",$C$4)</f>
        <v>is</v>
      </c>
      <c r="D10" s="4" t="str">
        <f>IF(RIGHT($D$4,3)="ius",LEFT($D$4,LEN($D$4)-3)&amp;"ī",$D$4)</f>
        <v>ea</v>
      </c>
      <c r="E10" s="4" t="str">
        <f>IF(RIGHT($E$4,3)="ius",LEFT($E$4,LEN($E$4)-3)&amp;"ī",$E$4)</f>
        <v>id</v>
      </c>
      <c r="F10" s="4" t="str">
        <f>F4</f>
        <v>eī</v>
      </c>
      <c r="G10" s="4" t="str">
        <f>G4</f>
        <v>eae</v>
      </c>
      <c r="H10" s="4" t="str">
        <f>H4</f>
        <v>ea</v>
      </c>
    </row>
    <row r="15" spans="2:5" ht="15">
      <c r="B15" s="2"/>
      <c r="C15" s="2"/>
      <c r="D15" s="2"/>
      <c r="E15" s="2"/>
    </row>
  </sheetData>
  <mergeCells count="5">
    <mergeCell ref="A4:A10"/>
    <mergeCell ref="C2:E2"/>
    <mergeCell ref="F2:H2"/>
    <mergeCell ref="C1:H1"/>
    <mergeCell ref="A1:B3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G16"/>
  <sheetViews>
    <sheetView workbookViewId="0" topLeftCell="A1">
      <selection activeCell="B1" sqref="B1:G1"/>
    </sheetView>
  </sheetViews>
  <sheetFormatPr defaultColWidth="9.140625" defaultRowHeight="12.75"/>
  <cols>
    <col min="1" max="1" width="26.28125" style="1" bestFit="1" customWidth="1"/>
    <col min="2" max="3" width="22.28125" style="1" bestFit="1" customWidth="1"/>
    <col min="4" max="4" width="20.7109375" style="1" customWidth="1"/>
    <col min="5" max="6" width="23.28125" style="1" bestFit="1" customWidth="1"/>
    <col min="7" max="7" width="22.7109375" style="1" bestFit="1" customWidth="1"/>
    <col min="8" max="16384" width="9.140625" style="1" customWidth="1"/>
  </cols>
  <sheetData>
    <row r="1" spans="1:7" ht="15.75">
      <c r="A1" s="5" t="s">
        <v>109</v>
      </c>
      <c r="B1" s="70" t="str">
        <f>IF(OR(AND(RIGHT(B5,2)="or",RIGHT(C5,2)="or",RIGHT(D5,2)="us"),B9="dīvitis",B9="veteris",B9="caelibis",B9="opis",B9="inopis",B9="pauperis",B9="memoris"),"Consonant Stem","i-Stem")</f>
        <v>i-Stem</v>
      </c>
      <c r="C1" s="71"/>
      <c r="D1" s="71"/>
      <c r="E1" s="71"/>
      <c r="F1" s="71"/>
      <c r="G1" s="72"/>
    </row>
    <row r="2" spans="1:7" ht="15.75">
      <c r="A2" s="6" t="str">
        <f>IF(A4="Third Declension",IF(AND(B5=C5,C5=D5),"One Termination",IF(B5=C5,"Two Terminations","Three Terminations")),"Not Third-Declension")</f>
        <v>One Termination</v>
      </c>
      <c r="B2" s="50" t="s">
        <v>110</v>
      </c>
      <c r="C2" s="50"/>
      <c r="D2" s="50"/>
      <c r="E2" s="50"/>
      <c r="F2" s="50"/>
      <c r="G2" s="50"/>
    </row>
    <row r="3" spans="1:7" ht="15.75">
      <c r="A3" s="5" t="s">
        <v>8</v>
      </c>
      <c r="B3" s="55" t="s">
        <v>7</v>
      </c>
      <c r="C3" s="55"/>
      <c r="D3" s="55"/>
      <c r="E3" s="55" t="s">
        <v>6</v>
      </c>
      <c r="F3" s="55"/>
      <c r="G3" s="55"/>
    </row>
    <row r="4" spans="1:7" ht="15.75">
      <c r="A4" s="6" t="str">
        <f>IF(AND(RIGHT(C5,1)="a",OR(RIGHT(D5,2)="um",RIGHT(D5,2)="ud")),"First/Second Declension","Third Declension")</f>
        <v>Third Declension</v>
      </c>
      <c r="B4" s="7" t="s">
        <v>108</v>
      </c>
      <c r="C4" s="7" t="s">
        <v>0</v>
      </c>
      <c r="D4" s="7" t="s">
        <v>107</v>
      </c>
      <c r="E4" s="7" t="s">
        <v>108</v>
      </c>
      <c r="F4" s="7" t="s">
        <v>0</v>
      </c>
      <c r="G4" s="7" t="s">
        <v>107</v>
      </c>
    </row>
    <row r="5" spans="1:7" ht="15.75">
      <c r="A5" s="7" t="s">
        <v>1</v>
      </c>
      <c r="B5" s="4" t="str">
        <f>IF('Adjectives Master'!$D$4="uterque","uter",'Adjectives Master'!D4)</f>
        <v>sapiēns</v>
      </c>
      <c r="C5" s="4" t="str">
        <f>IF('Adjectives Master'!$D$4="uterque","utra",'Adjectives Master'!E4)</f>
        <v>sapiēns</v>
      </c>
      <c r="D5" s="4" t="str">
        <f>IF('Adjectives Master'!$D$4="uterque","utrum",'Adjectives Master'!F4)</f>
        <v>sapiēns</v>
      </c>
      <c r="E5" s="4" t="str">
        <f>IF($A$4="First/Second Declension",B9,LEFT(B6,LEN(B6)-2)&amp;"ēs")</f>
        <v>sapientēs</v>
      </c>
      <c r="F5" s="4" t="str">
        <f>IF($A$4="First/Second Declension",C9,LEFT(C6,LEN(C6)-2)&amp;"ēs")</f>
        <v>sapientēs</v>
      </c>
      <c r="G5" s="4" t="str">
        <f>IF($A$4="First/Second Declension",LEFT(B6,LEN(B6)-2)&amp;"a",LEFT(C6,LEN(C6)-2)&amp;IF($B$1="Consonant Stem","a","ia"))</f>
        <v>sapientia</v>
      </c>
    </row>
    <row r="6" spans="1:7" ht="15.75">
      <c r="A6" s="7" t="s">
        <v>2</v>
      </c>
      <c r="B6" s="4" t="str">
        <f>IF($A$4="First/Second Declension",LEFT(C5,LEN(C5)-1)&amp;"um",LEFT(B9,LEN(B9)-2)&amp;"em")</f>
        <v>sapientem</v>
      </c>
      <c r="C6" s="4" t="str">
        <f>IF($A$4="First/Second Declension",LEFT(C5,LEN(C5)-1)&amp;"am",LEFT(B9,LEN(B9)-2)&amp;"em")</f>
        <v>sapientem</v>
      </c>
      <c r="D6" s="4" t="str">
        <f>$D$5</f>
        <v>sapiēns</v>
      </c>
      <c r="E6" s="4" t="str">
        <f>IF($A$4="First/Second Declension",LEFT(E5,LEN(E5)-1)&amp;"ōs",LEFT($B$6,LEN($B$6)-2)&amp;"ēs")</f>
        <v>sapientēs</v>
      </c>
      <c r="F6" s="4" t="str">
        <f>IF($A$4="First/Second Declension",LEFT(F5,LEN(F5)-2)&amp;"ās",LEFT($B$6,LEN($B$6)-2)&amp;"ēs")</f>
        <v>sapientēs</v>
      </c>
      <c r="G6" s="4" t="str">
        <f>G5</f>
        <v>sapientia</v>
      </c>
    </row>
    <row r="7" spans="1:7" ht="15.75">
      <c r="A7" s="7" t="s">
        <v>3</v>
      </c>
      <c r="B7" s="4" t="str">
        <f>IF($A$4="First/Second Declension",LEFT(B6,LEN(B6)-2)&amp;"ō",LEFT(B6,LEN(B6)-2)&amp;IF($B$1="Consonant Stem","e","ī"))</f>
        <v>sapientī</v>
      </c>
      <c r="C7" s="4" t="str">
        <f>IF($A$4="First/Second Declension",LEFT(C6,LEN(C6)-2)&amp;"ā",LEFT(B6,LEN(B6)-2)&amp;IF($B$1="Consonant Stem","e","ī"))</f>
        <v>sapientī</v>
      </c>
      <c r="D7" s="4" t="str">
        <f>IF($A$4="First/Second Declension",LEFT(D6,LEN(D6)-2)&amp;"ō",LEFT(B6,LEN(B6)-2)&amp;IF($B$1="Consonant Stem","e","ī"))</f>
        <v>sapientī</v>
      </c>
      <c r="E7" s="4" t="str">
        <f>IF($A$4="First/Second Declension",LEFT(E6,LEN(E6)-2)&amp;"īs",LEFT(E5,LEN(E5)-2)&amp;"ibus")</f>
        <v>sapientibus</v>
      </c>
      <c r="F7" s="4" t="str">
        <f>IF($A$4="First/Second Declension",LEFT(E6,LEN(E6)-2)&amp;"īs",LEFT(F5,LEN(F5)-2)&amp;"ibus")</f>
        <v>sapientibus</v>
      </c>
      <c r="G7" s="4" t="str">
        <f>IF($A$4="First/Second Declension",LEFT(E6,LEN(E6)-2)&amp;"īs",LEFT(G5,LEN(G5)-IF($B$1="Consonant Stem",1,2))&amp;"ibus")</f>
        <v>sapientibus</v>
      </c>
    </row>
    <row r="8" spans="1:7" ht="15.75">
      <c r="A8" s="7" t="s">
        <v>4</v>
      </c>
      <c r="B8" s="4" t="str">
        <f>IF($A$4="First/Second Declension",LEFT(B7,LEN(B7)-1)&amp;"ō",LEFT(B7,LEN(B7)-1)&amp;"ī")</f>
        <v>sapientī</v>
      </c>
      <c r="C8" s="4" t="str">
        <f>IF($A$4="First/Second Declension",LEFT(C7,LEN(C7)-1)&amp;"ae",B8)</f>
        <v>sapientī</v>
      </c>
      <c r="D8" s="4" t="str">
        <f>IF($A$4="First/Second Declension",LEFT(D7,LEN(D7)-1)&amp;"ō",LEFT(B7,LEN(B7)-1)&amp;"ī")</f>
        <v>sapientī</v>
      </c>
      <c r="E8" s="4" t="str">
        <f>E7</f>
        <v>sapientibus</v>
      </c>
      <c r="F8" s="4" t="str">
        <f>F7</f>
        <v>sapientibus</v>
      </c>
      <c r="G8" s="4" t="str">
        <f>G7</f>
        <v>sapientibus</v>
      </c>
    </row>
    <row r="9" spans="1:7" ht="15.75">
      <c r="A9" s="7" t="s">
        <v>5</v>
      </c>
      <c r="B9" s="4" t="str">
        <f>'Adjectives Master'!D8</f>
        <v>sapientis</v>
      </c>
      <c r="C9" s="4" t="str">
        <f>IF($A$4="First/Second Declension",C8,LEFT(C8,LEN(C8)-1)&amp;"is")</f>
        <v>sapientis</v>
      </c>
      <c r="D9" s="4" t="str">
        <f>IF($A$4="First/Second Declension",LEFT(D8,LEN(D8)-1)&amp;"ī",LEFT($B$6,LEN($B$6)-2)&amp;"is")</f>
        <v>sapientis</v>
      </c>
      <c r="E9" s="4" t="str">
        <f>IF($A$4="First/Second Declension",$B$7&amp;"rum",LEFT($B$6,LEN($B$6)-2)&amp;IF($B$1="Consonant Stem","um","ium"))</f>
        <v>sapientium</v>
      </c>
      <c r="F9" s="4" t="str">
        <f>IF($A$4="First/Second Declension",$C$7&amp;"rum",LEFT($B$6,LEN($B$6)-2)&amp;IF($B$1="Consonant Stem","um","ium"))</f>
        <v>sapientium</v>
      </c>
      <c r="G9" s="4" t="str">
        <f>IF($A$4="First/Second Declension",$B$7&amp;"rum",LEFT($B$6,LEN($B$6)-2)&amp;IF($B$1="Consonant Stem","um","ium"))</f>
        <v>sapientium</v>
      </c>
    </row>
    <row r="16" spans="1:4" ht="15">
      <c r="A16" s="2"/>
      <c r="B16" s="2"/>
      <c r="C16" s="2"/>
      <c r="D16" s="2"/>
    </row>
  </sheetData>
  <mergeCells count="4">
    <mergeCell ref="B3:D3"/>
    <mergeCell ref="E3:G3"/>
    <mergeCell ref="B2:G2"/>
    <mergeCell ref="B1:G1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45"/>
  <sheetViews>
    <sheetView workbookViewId="0" topLeftCell="A1">
      <selection activeCell="G10" sqref="G10"/>
    </sheetView>
  </sheetViews>
  <sheetFormatPr defaultColWidth="9.140625" defaultRowHeight="12.75"/>
  <cols>
    <col min="1" max="1" width="26.28125" style="1" bestFit="1" customWidth="1"/>
    <col min="2" max="2" width="12.28125" style="0" customWidth="1"/>
    <col min="3" max="3" width="11.28125" style="1" bestFit="1" customWidth="1"/>
    <col min="4" max="4" width="10.00390625" style="0" bestFit="1" customWidth="1"/>
    <col min="5" max="5" width="12.28125" style="1" bestFit="1" customWidth="1"/>
    <col min="6" max="6" width="11.28125" style="1" bestFit="1" customWidth="1"/>
    <col min="7" max="7" width="8.57421875" style="1" customWidth="1"/>
    <col min="8" max="11" width="9.140625" style="1" customWidth="1"/>
    <col min="12" max="12" width="10.8515625" style="1" bestFit="1" customWidth="1"/>
    <col min="13" max="16384" width="9.140625" style="1" customWidth="1"/>
  </cols>
  <sheetData>
    <row r="1" spans="1:4" ht="15.75">
      <c r="A1" s="9"/>
      <c r="B1" s="8"/>
      <c r="C1" s="8"/>
      <c r="D1" s="8"/>
    </row>
    <row r="2" spans="1:4" ht="15.75">
      <c r="A2" s="8"/>
      <c r="B2" s="73"/>
      <c r="C2" s="73"/>
      <c r="D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tr">
        <f>'Adjectives Master'!$A$5</f>
        <v>sapiēns</v>
      </c>
      <c r="C5" s="8" t="str">
        <f>IF($B$5="mīlle",mille!C5,IF($B$5="ūnus",unus!C5,"N/A"))</f>
        <v>N/A</v>
      </c>
      <c r="D5" s="8" t="str">
        <f>IF($B$5="mīlle",mille!D5,IF($B$5="ūnus",unus!D5,"N/A"))</f>
        <v>N/A</v>
      </c>
      <c r="E5" s="8" t="str">
        <f>IF($B$5="mīlle",mille!E5,IF($B$5="duo",duo!E5,IF($B$5="ambō",ambo!E5,IF($B$5="trēs",tres!E5,"N/A"))))</f>
        <v>N/A</v>
      </c>
      <c r="F5" s="8" t="str">
        <f>IF($B$5="mīlle",mille!F5,IF($B$5="duo",duo!F5,IF($B$5="ambō",ambo!F5,IF($B$5="trēs",tres!F5,"N/A"))))</f>
        <v>N/A</v>
      </c>
      <c r="G5" s="8" t="str">
        <f>IF($B$5="mīlle",mille!G5,IF($B$5="duo",duo!G5,IF($B$5="ambō",ambo!G5,IF($B$5="trēs",tres!G5,"N/A"))))</f>
        <v>N/A</v>
      </c>
    </row>
    <row r="6" spans="1:7" ht="15.75">
      <c r="A6" s="9" t="s">
        <v>2</v>
      </c>
      <c r="B6" s="8" t="str">
        <f>IF($B$5="mīlle",mille!B6,IF($B$5="ūnus",unus!B6,"N/A"))</f>
        <v>N/A</v>
      </c>
      <c r="C6" s="8" t="str">
        <f>IF($B$5="mīlle",mille!C6,IF($B$5="ūnus",unus!C6,"N/A"))</f>
        <v>N/A</v>
      </c>
      <c r="D6" s="8" t="str">
        <f>IF($B$5="mīlle",mille!D6,IF($B$5="ūnus",unus!D6,"N/A"))</f>
        <v>N/A</v>
      </c>
      <c r="E6" s="8" t="str">
        <f>IF($B$5="mīlle",mille!E6,IF($B$5="duo",duo!E6,IF($B$5="ambō",ambo!E6,IF($B$5="trēs",tres!E6,"N/A"))))</f>
        <v>N/A</v>
      </c>
      <c r="F6" s="8" t="str">
        <f>IF($B$5="mīlle",mille!F6,IF($B$5="duo",duo!F6,IF($B$5="ambō",ambo!F6,IF($B$5="trēs",tres!F6,"N/A"))))</f>
        <v>N/A</v>
      </c>
      <c r="G6" s="8" t="str">
        <f>IF($B$5="mīlle",mille!G6,IF($B$5="duo",duo!G6,IF($B$5="ambō",ambo!G6,IF($B$5="trēs",tres!G6,"N/A"))))</f>
        <v>N/A</v>
      </c>
    </row>
    <row r="7" spans="1:7" ht="15.75">
      <c r="A7" s="9" t="s">
        <v>3</v>
      </c>
      <c r="B7" s="8" t="str">
        <f>IF($B$5="mīlle",mille!B7,IF($B$5="ūnus",unus!B7,"N/A"))</f>
        <v>N/A</v>
      </c>
      <c r="C7" s="8" t="str">
        <f>IF($B$5="mīlle",mille!C7,IF($B$5="ūnus",unus!C7,"N/A"))</f>
        <v>N/A</v>
      </c>
      <c r="D7" s="8" t="str">
        <f>IF($B$5="mīlle",mille!D7,IF($B$5="ūnus",unus!D7,"N/A"))</f>
        <v>N/A</v>
      </c>
      <c r="E7" s="8" t="str">
        <f>IF($B$5="mīlle",mille!E7,IF($B$5="duo",duo!E7,IF($B$5="ambō",ambo!E7,IF($B$5="trēs",tres!E7,"N/A"))))</f>
        <v>N/A</v>
      </c>
      <c r="F7" s="8" t="str">
        <f>IF($B$5="mīlle",mille!F7,IF($B$5="duo",duo!F7,IF($B$5="ambō",ambo!F7,IF($B$5="trēs",tres!F7,"N/A"))))</f>
        <v>N/A</v>
      </c>
      <c r="G7" s="8" t="str">
        <f>IF($B$5="mīlle",mille!G7,IF($B$5="duo",duo!G7,IF($B$5="ambō",ambo!G7,IF($B$5="trēs",tres!G7,"N/A"))))</f>
        <v>N/A</v>
      </c>
    </row>
    <row r="8" spans="1:7" ht="15.75">
      <c r="A8" s="9" t="s">
        <v>4</v>
      </c>
      <c r="B8" s="8" t="str">
        <f>IF($B$5="mīlle",mille!B8,IF($B$5="ūnus",unus!B8,"N/A"))</f>
        <v>N/A</v>
      </c>
      <c r="C8" s="8" t="str">
        <f>IF($B$5="mīlle",mille!C8,IF($B$5="ūnus",unus!C8,"N/A"))</f>
        <v>N/A</v>
      </c>
      <c r="D8" s="8" t="str">
        <f>IF($B$5="mīlle",mille!D8,IF($B$5="ūnus",unus!D8,"N/A"))</f>
        <v>N/A</v>
      </c>
      <c r="E8" s="8" t="str">
        <f>IF($B$5="mīlle",mille!E8,IF($B$5="duo",duo!E8,IF($B$5="ambō",ambo!E8,IF($B$5="trēs",tres!E8,"N/A"))))</f>
        <v>N/A</v>
      </c>
      <c r="F8" s="8" t="str">
        <f>IF($B$5="mīlle",mille!F8,IF($B$5="duo",duo!F8,IF($B$5="ambō",ambo!F8,IF($B$5="trēs",tres!F8,"N/A"))))</f>
        <v>N/A</v>
      </c>
      <c r="G8" s="8" t="str">
        <f>IF($B$5="mīlle",mille!G8,IF($B$5="duo",duo!G8,IF($B$5="ambō",ambo!G8,IF($B$5="trēs",tres!G8,"N/A"))))</f>
        <v>N/A</v>
      </c>
    </row>
    <row r="9" spans="1:7" ht="15.75">
      <c r="A9" s="9" t="s">
        <v>5</v>
      </c>
      <c r="B9" s="8" t="str">
        <f>IF($B$5="mīlle",mille!B9,IF($B$5="ūnus",unus!B9,"N/A"))</f>
        <v>N/A</v>
      </c>
      <c r="C9" s="8" t="str">
        <f>IF($B$5="mīlle",mille!C9,IF($B$5="ūnus",unus!C9,"N/A"))</f>
        <v>N/A</v>
      </c>
      <c r="D9" s="8" t="str">
        <f>IF($B$5="mīlle",mille!D9,IF($B$5="ūnus",unus!D9,"N/A"))</f>
        <v>N/A</v>
      </c>
      <c r="E9" s="8" t="str">
        <f>IF($B$5="mīlle",mille!E9,IF($B$5="duo",duo!E9,IF($B$5="ambō",ambo!E9,IF($B$5="trēs",tres!E9,"N/A"))))</f>
        <v>N/A</v>
      </c>
      <c r="F9" s="8" t="str">
        <f>IF($B$5="mīlle",mille!F9,IF($B$5="duo",duo!F9,IF($B$5="ambō",ambo!F9,IF($B$5="trēs",tres!F9,"N/A"))))</f>
        <v>N/A</v>
      </c>
      <c r="G9" s="8" t="str">
        <f>IF($B$5="mīlle",mille!G9,IF($B$5="duo",duo!G9,IF($B$5="ambō",ambo!G9,IF($B$5="trēs",tres!G9,"N/A"))))</f>
        <v>N/A</v>
      </c>
    </row>
    <row r="10" spans="1:4" ht="15">
      <c r="A10" s="2"/>
      <c r="C10" s="2"/>
      <c r="D10" s="1"/>
    </row>
    <row r="11" ht="15">
      <c r="D11" s="1"/>
    </row>
    <row r="14" ht="15">
      <c r="B14" s="17"/>
    </row>
    <row r="16" ht="15">
      <c r="E16" s="2"/>
    </row>
    <row r="18" ht="15">
      <c r="E18" s="2"/>
    </row>
    <row r="21" ht="15.75">
      <c r="H21" s="3"/>
    </row>
    <row r="25" ht="15">
      <c r="E25" s="2"/>
    </row>
    <row r="26" ht="15">
      <c r="E26" s="2"/>
    </row>
    <row r="27" ht="15">
      <c r="E27" s="2"/>
    </row>
    <row r="28" ht="15">
      <c r="E28" s="2"/>
    </row>
    <row r="30" ht="15">
      <c r="E30" s="2"/>
    </row>
    <row r="31" ht="15">
      <c r="E31" s="2"/>
    </row>
    <row r="32" ht="15">
      <c r="E32" s="2"/>
    </row>
    <row r="33" ht="15">
      <c r="E33" s="2"/>
    </row>
    <row r="40" ht="15">
      <c r="E40" s="2"/>
    </row>
    <row r="41" ht="15">
      <c r="E41" s="2"/>
    </row>
    <row r="42" ht="15">
      <c r="E42" s="2"/>
    </row>
    <row r="43" ht="15">
      <c r="E43" s="2"/>
    </row>
    <row r="44" spans="3:4" ht="15.75">
      <c r="C44" s="3"/>
      <c r="D44" s="3"/>
    </row>
    <row r="45" ht="15">
      <c r="D45" s="1"/>
    </row>
  </sheetData>
  <mergeCells count="3">
    <mergeCell ref="B2:D2"/>
    <mergeCell ref="B3:D3"/>
    <mergeCell ref="E3:G3"/>
  </mergeCells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H45"/>
  <sheetViews>
    <sheetView workbookViewId="0" topLeftCell="A1">
      <selection activeCell="B9" sqref="B9"/>
    </sheetView>
  </sheetViews>
  <sheetFormatPr defaultColWidth="9.140625" defaultRowHeight="12.75"/>
  <cols>
    <col min="1" max="1" width="26.28125" style="1" bestFit="1" customWidth="1"/>
    <col min="2" max="2" width="12.28125" style="0" customWidth="1"/>
    <col min="3" max="3" width="11.28125" style="1" bestFit="1" customWidth="1"/>
    <col min="4" max="4" width="10.00390625" style="0" bestFit="1" customWidth="1"/>
    <col min="5" max="11" width="9.140625" style="1" customWidth="1"/>
    <col min="12" max="12" width="10.8515625" style="1" bestFit="1" customWidth="1"/>
    <col min="13" max="16384" width="9.140625" style="1" customWidth="1"/>
  </cols>
  <sheetData>
    <row r="1" spans="1:4" ht="15.75">
      <c r="A1" s="9"/>
      <c r="B1" s="8"/>
      <c r="C1" s="8"/>
      <c r="D1" s="8"/>
    </row>
    <row r="2" spans="1:4" ht="15.75">
      <c r="A2" s="8"/>
      <c r="B2" s="73"/>
      <c r="C2" s="73"/>
      <c r="D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">
        <v>130</v>
      </c>
      <c r="C5" s="8" t="s">
        <v>131</v>
      </c>
      <c r="D5" s="8" t="s">
        <v>132</v>
      </c>
      <c r="E5" s="1" t="s">
        <v>156</v>
      </c>
      <c r="F5" s="1" t="s">
        <v>156</v>
      </c>
      <c r="G5" s="1" t="s">
        <v>156</v>
      </c>
    </row>
    <row r="6" spans="1:7" ht="15.75">
      <c r="A6" s="9" t="s">
        <v>2</v>
      </c>
      <c r="B6" s="8" t="s">
        <v>132</v>
      </c>
      <c r="C6" s="8" t="s">
        <v>133</v>
      </c>
      <c r="D6" s="8" t="s">
        <v>132</v>
      </c>
      <c r="E6" s="1" t="s">
        <v>156</v>
      </c>
      <c r="F6" s="1" t="s">
        <v>156</v>
      </c>
      <c r="G6" s="1" t="s">
        <v>156</v>
      </c>
    </row>
    <row r="7" spans="1:7" ht="15.75">
      <c r="A7" s="9" t="s">
        <v>3</v>
      </c>
      <c r="B7" s="8" t="s">
        <v>134</v>
      </c>
      <c r="C7" s="8" t="s">
        <v>135</v>
      </c>
      <c r="D7" s="8" t="str">
        <f>B7</f>
        <v>unō</v>
      </c>
      <c r="E7" s="1" t="s">
        <v>156</v>
      </c>
      <c r="F7" s="1" t="s">
        <v>156</v>
      </c>
      <c r="G7" s="1" t="s">
        <v>156</v>
      </c>
    </row>
    <row r="8" spans="1:7" ht="15.75">
      <c r="A8" s="9" t="s">
        <v>4</v>
      </c>
      <c r="B8" s="8" t="s">
        <v>136</v>
      </c>
      <c r="C8" s="8" t="s">
        <v>136</v>
      </c>
      <c r="D8" s="8" t="s">
        <v>136</v>
      </c>
      <c r="E8" s="1" t="s">
        <v>156</v>
      </c>
      <c r="F8" s="1" t="s">
        <v>156</v>
      </c>
      <c r="G8" s="1" t="s">
        <v>156</v>
      </c>
    </row>
    <row r="9" spans="1:7" ht="15.75">
      <c r="A9" s="9" t="s">
        <v>5</v>
      </c>
      <c r="B9" s="8" t="s">
        <v>137</v>
      </c>
      <c r="C9" s="8" t="s">
        <v>137</v>
      </c>
      <c r="D9" s="8" t="s">
        <v>137</v>
      </c>
      <c r="E9" s="1" t="s">
        <v>156</v>
      </c>
      <c r="F9" s="1" t="s">
        <v>156</v>
      </c>
      <c r="G9" s="1" t="s">
        <v>156</v>
      </c>
    </row>
    <row r="10" spans="1:4" ht="15">
      <c r="A10" s="2"/>
      <c r="C10" s="2"/>
      <c r="D10" s="1"/>
    </row>
    <row r="11" ht="15">
      <c r="D11" s="1"/>
    </row>
    <row r="16" ht="15">
      <c r="E16" s="2"/>
    </row>
    <row r="18" ht="15">
      <c r="E18" s="2"/>
    </row>
    <row r="21" ht="15.75">
      <c r="H21" s="3"/>
    </row>
    <row r="25" ht="15">
      <c r="E25" s="2"/>
    </row>
    <row r="26" ht="15">
      <c r="E26" s="2"/>
    </row>
    <row r="27" ht="15">
      <c r="E27" s="2"/>
    </row>
    <row r="28" ht="15">
      <c r="E28" s="2"/>
    </row>
    <row r="30" ht="15">
      <c r="E30" s="2"/>
    </row>
    <row r="31" ht="15">
      <c r="E31" s="2"/>
    </row>
    <row r="32" ht="15">
      <c r="E32" s="2"/>
    </row>
    <row r="33" ht="15">
      <c r="E33" s="2"/>
    </row>
    <row r="40" ht="15">
      <c r="E40" s="2"/>
    </row>
    <row r="41" ht="15">
      <c r="E41" s="2"/>
    </row>
    <row r="42" ht="15">
      <c r="E42" s="2"/>
    </row>
    <row r="43" ht="15">
      <c r="E43" s="2"/>
    </row>
    <row r="44" spans="3:4" ht="15.75">
      <c r="C44" s="3"/>
      <c r="D44" s="3"/>
    </row>
    <row r="45" ht="15">
      <c r="D45" s="1"/>
    </row>
  </sheetData>
  <mergeCells count="3">
    <mergeCell ref="B2:D2"/>
    <mergeCell ref="B3:D3"/>
    <mergeCell ref="E3:G3"/>
  </mergeCells>
  <printOptions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45"/>
  <sheetViews>
    <sheetView workbookViewId="0" topLeftCell="A1">
      <selection activeCell="E10" sqref="E10"/>
    </sheetView>
  </sheetViews>
  <sheetFormatPr defaultColWidth="9.140625" defaultRowHeight="12.75"/>
  <cols>
    <col min="1" max="1" width="26.28125" style="1" bestFit="1" customWidth="1"/>
    <col min="2" max="2" width="12.28125" style="0" customWidth="1"/>
    <col min="3" max="3" width="11.28125" style="1" bestFit="1" customWidth="1"/>
    <col min="4" max="4" width="10.00390625" style="0" bestFit="1" customWidth="1"/>
    <col min="5" max="11" width="9.140625" style="1" customWidth="1"/>
    <col min="12" max="12" width="10.8515625" style="1" bestFit="1" customWidth="1"/>
    <col min="13" max="16384" width="9.140625" style="1" customWidth="1"/>
  </cols>
  <sheetData>
    <row r="1" spans="1:4" ht="15.75">
      <c r="A1" s="9"/>
      <c r="B1" s="8"/>
      <c r="C1" s="8"/>
      <c r="D1" s="8"/>
    </row>
    <row r="2" spans="1:4" ht="15.75">
      <c r="A2" s="8"/>
      <c r="B2" s="73"/>
      <c r="C2" s="73"/>
      <c r="D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">
        <v>156</v>
      </c>
      <c r="C5" s="8" t="s">
        <v>156</v>
      </c>
      <c r="D5" s="8" t="s">
        <v>156</v>
      </c>
      <c r="E5" s="8" t="s">
        <v>113</v>
      </c>
      <c r="F5" s="8" t="s">
        <v>114</v>
      </c>
      <c r="G5" s="8" t="s">
        <v>113</v>
      </c>
    </row>
    <row r="6" spans="1:7" ht="15.75">
      <c r="A6" s="9" t="s">
        <v>2</v>
      </c>
      <c r="B6" s="8" t="s">
        <v>156</v>
      </c>
      <c r="C6" s="8" t="s">
        <v>156</v>
      </c>
      <c r="D6" s="8" t="s">
        <v>156</v>
      </c>
      <c r="E6" s="8" t="s">
        <v>115</v>
      </c>
      <c r="F6" s="8" t="s">
        <v>116</v>
      </c>
      <c r="G6" s="8" t="s">
        <v>113</v>
      </c>
    </row>
    <row r="7" spans="1:7" ht="15.75">
      <c r="A7" s="9" t="s">
        <v>3</v>
      </c>
      <c r="B7" s="8" t="s">
        <v>156</v>
      </c>
      <c r="C7" s="8" t="s">
        <v>156</v>
      </c>
      <c r="D7" s="8" t="s">
        <v>156</v>
      </c>
      <c r="E7" s="8" t="str">
        <f>LEFT($E$6,LEN($E$6)-1)&amp;"bus"</f>
        <v>duōbus</v>
      </c>
      <c r="F7" s="8" t="str">
        <f>LEFT($F$6,LEN($F$6)-1)&amp;"bus"</f>
        <v>duābus</v>
      </c>
      <c r="G7" s="8" t="str">
        <f>E7</f>
        <v>duōbus</v>
      </c>
    </row>
    <row r="8" spans="1:7" ht="15.75">
      <c r="A8" s="9" t="s">
        <v>4</v>
      </c>
      <c r="B8" s="8" t="s">
        <v>156</v>
      </c>
      <c r="C8" s="8" t="s">
        <v>156</v>
      </c>
      <c r="D8" s="8" t="s">
        <v>156</v>
      </c>
      <c r="E8" s="8" t="str">
        <f>LEFT($E$6,LEN($E$6)-1)&amp;"bus"</f>
        <v>duōbus</v>
      </c>
      <c r="F8" s="8" t="str">
        <f>LEFT($F$6,LEN($F$6)-1)&amp;"bus"</f>
        <v>duābus</v>
      </c>
      <c r="G8" s="8" t="str">
        <f>E8</f>
        <v>duōbus</v>
      </c>
    </row>
    <row r="9" spans="1:7" ht="15.75">
      <c r="A9" s="9" t="s">
        <v>5</v>
      </c>
      <c r="B9" s="8" t="s">
        <v>156</v>
      </c>
      <c r="C9" s="8" t="s">
        <v>156</v>
      </c>
      <c r="D9" s="8" t="s">
        <v>156</v>
      </c>
      <c r="E9" s="8" t="str">
        <f>LEFT($E$6,LEN($E$6)-1)&amp;"rum"</f>
        <v>duōrum</v>
      </c>
      <c r="F9" s="8" t="str">
        <f>LEFT($F$6,LEN($F$6)-1)&amp;"rum"</f>
        <v>duārum</v>
      </c>
      <c r="G9" s="8" t="str">
        <f>E9</f>
        <v>duōrum</v>
      </c>
    </row>
    <row r="10" spans="1:4" ht="15">
      <c r="A10" s="2"/>
      <c r="C10" s="2"/>
      <c r="D10" s="1"/>
    </row>
    <row r="11" ht="15">
      <c r="D11" s="1"/>
    </row>
    <row r="16" ht="15">
      <c r="E16" s="2"/>
    </row>
    <row r="18" ht="15">
      <c r="E18" s="2"/>
    </row>
    <row r="21" ht="15.75">
      <c r="H21" s="3"/>
    </row>
    <row r="25" ht="15">
      <c r="E25" s="2"/>
    </row>
    <row r="26" ht="15">
      <c r="E26" s="2"/>
    </row>
    <row r="27" ht="15">
      <c r="E27" s="2"/>
    </row>
    <row r="28" ht="15">
      <c r="E28" s="2"/>
    </row>
    <row r="30" ht="15">
      <c r="E30" s="2"/>
    </row>
    <row r="31" ht="15">
      <c r="E31" s="2"/>
    </row>
    <row r="32" ht="15">
      <c r="E32" s="2"/>
    </row>
    <row r="33" ht="15">
      <c r="E33" s="2"/>
    </row>
    <row r="40" ht="15">
      <c r="E40" s="2"/>
    </row>
    <row r="41" ht="15">
      <c r="E41" s="2"/>
    </row>
    <row r="42" ht="15">
      <c r="E42" s="2"/>
    </row>
    <row r="43" ht="15">
      <c r="E43" s="2"/>
    </row>
    <row r="44" spans="3:4" ht="15.75">
      <c r="C44" s="3"/>
      <c r="D44" s="3"/>
    </row>
    <row r="45" ht="15">
      <c r="D45" s="1"/>
    </row>
  </sheetData>
  <mergeCells count="3">
    <mergeCell ref="B2:D2"/>
    <mergeCell ref="B3:D3"/>
    <mergeCell ref="E3:G3"/>
  </mergeCells>
  <printOptions/>
  <pageMargins left="0.75" right="0.75" top="1" bottom="1" header="0.5" footer="0.5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H45"/>
  <sheetViews>
    <sheetView workbookViewId="0" topLeftCell="A1">
      <selection activeCell="B4" sqref="B4"/>
    </sheetView>
  </sheetViews>
  <sheetFormatPr defaultColWidth="9.140625" defaultRowHeight="12.75"/>
  <cols>
    <col min="1" max="1" width="26.28125" style="1" bestFit="1" customWidth="1"/>
    <col min="2" max="2" width="12.28125" style="0" customWidth="1"/>
    <col min="3" max="3" width="11.28125" style="1" bestFit="1" customWidth="1"/>
    <col min="4" max="4" width="10.00390625" style="0" bestFit="1" customWidth="1"/>
    <col min="5" max="11" width="9.140625" style="1" customWidth="1"/>
    <col min="12" max="12" width="10.8515625" style="1" bestFit="1" customWidth="1"/>
    <col min="13" max="16384" width="9.140625" style="1" customWidth="1"/>
  </cols>
  <sheetData>
    <row r="1" spans="1:4" ht="15.75">
      <c r="A1" s="9"/>
      <c r="B1" s="8"/>
      <c r="C1" s="8"/>
      <c r="D1" s="8"/>
    </row>
    <row r="2" spans="1:4" ht="15.75">
      <c r="A2" s="8"/>
      <c r="B2" s="73"/>
      <c r="C2" s="73"/>
      <c r="D2" s="73"/>
    </row>
    <row r="3" spans="1:7" ht="15.75">
      <c r="A3" s="9"/>
      <c r="B3" s="73" t="s">
        <v>7</v>
      </c>
      <c r="C3" s="73"/>
      <c r="D3" s="73"/>
      <c r="E3" s="73" t="s">
        <v>6</v>
      </c>
      <c r="F3" s="73"/>
      <c r="G3" s="73"/>
    </row>
    <row r="4" spans="1:7" ht="15.75">
      <c r="A4" s="8"/>
      <c r="B4" s="9" t="s">
        <v>108</v>
      </c>
      <c r="C4" s="9" t="s">
        <v>0</v>
      </c>
      <c r="D4" s="9" t="s">
        <v>107</v>
      </c>
      <c r="E4" s="9" t="s">
        <v>108</v>
      </c>
      <c r="F4" s="9" t="s">
        <v>0</v>
      </c>
      <c r="G4" s="9" t="s">
        <v>107</v>
      </c>
    </row>
    <row r="5" spans="1:7" ht="15.75">
      <c r="A5" s="9" t="s">
        <v>1</v>
      </c>
      <c r="B5" s="8" t="s">
        <v>156</v>
      </c>
      <c r="C5" s="8" t="s">
        <v>156</v>
      </c>
      <c r="D5" s="8" t="s">
        <v>156</v>
      </c>
      <c r="E5" s="8" t="s">
        <v>126</v>
      </c>
      <c r="F5" s="8" t="s">
        <v>127</v>
      </c>
      <c r="G5" s="8" t="s">
        <v>126</v>
      </c>
    </row>
    <row r="6" spans="1:7" ht="15.75">
      <c r="A6" s="9" t="s">
        <v>2</v>
      </c>
      <c r="B6" s="8" t="s">
        <v>156</v>
      </c>
      <c r="C6" s="8" t="s">
        <v>156</v>
      </c>
      <c r="D6" s="8" t="s">
        <v>156</v>
      </c>
      <c r="E6" s="16" t="s">
        <v>128</v>
      </c>
      <c r="F6" s="16" t="s">
        <v>129</v>
      </c>
      <c r="G6" s="8" t="s">
        <v>126</v>
      </c>
    </row>
    <row r="7" spans="1:7" ht="15.75">
      <c r="A7" s="9" t="s">
        <v>3</v>
      </c>
      <c r="B7" s="8" t="s">
        <v>156</v>
      </c>
      <c r="C7" s="8" t="s">
        <v>156</v>
      </c>
      <c r="D7" s="8" t="s">
        <v>156</v>
      </c>
      <c r="E7" s="8" t="str">
        <f>LEFT($E$6,LEN($E$6)-1)&amp;"bus"</f>
        <v>ambōbus</v>
      </c>
      <c r="F7" s="8" t="str">
        <f>LEFT($F$6,LEN($F$6)-1)&amp;"bus"</f>
        <v>ambābus</v>
      </c>
      <c r="G7" s="8" t="str">
        <f>E7</f>
        <v>ambōbus</v>
      </c>
    </row>
    <row r="8" spans="1:7" ht="15.75">
      <c r="A8" s="9" t="s">
        <v>4</v>
      </c>
      <c r="B8" s="8" t="s">
        <v>156</v>
      </c>
      <c r="C8" s="8" t="s">
        <v>156</v>
      </c>
      <c r="D8" s="8" t="s">
        <v>156</v>
      </c>
      <c r="E8" s="8" t="str">
        <f>LEFT($E$6,LEN($E$6)-1)&amp;"bus"</f>
        <v>ambōbus</v>
      </c>
      <c r="F8" s="8" t="str">
        <f>LEFT($F$6,LEN($F$6)-1)&amp;"bus"</f>
        <v>ambābus</v>
      </c>
      <c r="G8" s="8" t="str">
        <f>E8</f>
        <v>ambōbus</v>
      </c>
    </row>
    <row r="9" spans="1:7" ht="15.75">
      <c r="A9" s="9" t="s">
        <v>5</v>
      </c>
      <c r="B9" s="8" t="s">
        <v>156</v>
      </c>
      <c r="C9" s="8" t="s">
        <v>156</v>
      </c>
      <c r="D9" s="8" t="s">
        <v>156</v>
      </c>
      <c r="E9" s="8" t="str">
        <f>LEFT($E$6,LEN($E$6)-1)&amp;"rum"</f>
        <v>ambōrum</v>
      </c>
      <c r="F9" s="8" t="str">
        <f>LEFT($F$6,LEN($F$6)-1)&amp;"rum"</f>
        <v>ambārum</v>
      </c>
      <c r="G9" s="8" t="str">
        <f>E9</f>
        <v>ambōrum</v>
      </c>
    </row>
    <row r="10" spans="1:4" ht="15">
      <c r="A10" s="2"/>
      <c r="C10" s="2"/>
      <c r="D10" s="1"/>
    </row>
    <row r="11" ht="15">
      <c r="D11" s="1"/>
    </row>
    <row r="16" ht="15">
      <c r="E16" s="2"/>
    </row>
    <row r="18" ht="15">
      <c r="E18" s="2"/>
    </row>
    <row r="21" ht="15.75">
      <c r="H21" s="3"/>
    </row>
    <row r="25" ht="15">
      <c r="E25" s="2"/>
    </row>
    <row r="26" ht="15">
      <c r="E26" s="2"/>
    </row>
    <row r="27" ht="15">
      <c r="E27" s="2"/>
    </row>
    <row r="28" ht="15">
      <c r="E28" s="2"/>
    </row>
    <row r="30" ht="15">
      <c r="E30" s="2"/>
    </row>
    <row r="31" ht="15">
      <c r="E31" s="2"/>
    </row>
    <row r="32" ht="15">
      <c r="E32" s="2"/>
    </row>
    <row r="33" ht="15">
      <c r="E33" s="2"/>
    </row>
    <row r="40" ht="15">
      <c r="E40" s="2"/>
    </row>
    <row r="41" ht="15">
      <c r="E41" s="2"/>
    </row>
    <row r="42" ht="15">
      <c r="E42" s="2"/>
    </row>
    <row r="43" ht="15">
      <c r="E43" s="2"/>
    </row>
    <row r="44" spans="3:4" ht="15.75">
      <c r="C44" s="3"/>
      <c r="D44" s="3"/>
    </row>
    <row r="45" ht="15">
      <c r="D45" s="1"/>
    </row>
  </sheetData>
  <mergeCells count="3">
    <mergeCell ref="B2:D2"/>
    <mergeCell ref="B3:D3"/>
    <mergeCell ref="E3:G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home/university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Bontrager</dc:creator>
  <cp:keywords/>
  <dc:description/>
  <cp:lastModifiedBy>Gregory Bontrager</cp:lastModifiedBy>
  <cp:lastPrinted>2005-05-14T20:33:41Z</cp:lastPrinted>
  <dcterms:created xsi:type="dcterms:W3CDTF">2005-02-28T21:33:51Z</dcterms:created>
  <dcterms:modified xsi:type="dcterms:W3CDTF">2005-12-20T00:35:00Z</dcterms:modified>
  <cp:category/>
  <cp:version/>
  <cp:contentType/>
  <cp:contentStatus/>
</cp:coreProperties>
</file>